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<sst xmlns="http://schemas.openxmlformats.org/spreadsheetml/2006/main" uniqueCount="58">
  <si>
    <t>Financial model</t>
  </si>
  <si>
    <t>Rpbn</t>
  </si>
  <si>
    <t>4Q 2022</t>
  </si>
  <si>
    <t>Cashflow</t>
  </si>
  <si>
    <t>Growth</t>
  </si>
  <si>
    <t>Sales</t>
  </si>
  <si>
    <t>Cost ratio</t>
  </si>
  <si>
    <t xml:space="preserve">Cash costs </t>
  </si>
  <si>
    <t>Operating</t>
  </si>
  <si>
    <t>Investment</t>
  </si>
  <si>
    <t>Finance</t>
  </si>
  <si>
    <t xml:space="preserve">Liabilities </t>
  </si>
  <si>
    <t>Equity</t>
  </si>
  <si>
    <t xml:space="preserve">Before revolver </t>
  </si>
  <si>
    <t xml:space="preserve">Revolver </t>
  </si>
  <si>
    <t>Beginning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</si>
  <si>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</si>
  <si>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</si>
  <si>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</si>
  <si>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</si>
  <si>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</si>
  <si>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</si>
  <si>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</si>
  <si>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</si>
  <si>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</si>
  <si>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</si>
  <si>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</si>
  <si>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</si>
  <si>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</si>
  <si>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</si>
  <si>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</si>
  <si>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</si>
  <si>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>Yield</t>
  </si>
  <si>
    <t xml:space="preserve">Payback </t>
  </si>
  <si>
    <t xml:space="preserve">Forecast </t>
  </si>
  <si>
    <t>Value</t>
  </si>
  <si>
    <t>Shares</t>
  </si>
  <si>
    <t>Target</t>
  </si>
  <si>
    <t xml:space="preserve">Current </t>
  </si>
  <si>
    <t>V target</t>
  </si>
  <si>
    <t xml:space="preserve">12 month growth </t>
  </si>
  <si>
    <t xml:space="preserve">Sales forecasts </t>
  </si>
  <si>
    <t xml:space="preserve">Sales growth </t>
  </si>
  <si>
    <t xml:space="preserve">Cost ratio </t>
  </si>
  <si>
    <t>Cashflow costs</t>
  </si>
  <si>
    <t xml:space="preserve">Receipts </t>
  </si>
  <si>
    <t>Lease</t>
  </si>
  <si>
    <t xml:space="preserve">Operating </t>
  </si>
  <si>
    <t xml:space="preserve">Investment </t>
  </si>
  <si>
    <t>Liabilities</t>
  </si>
  <si>
    <t xml:space="preserve">Free cashflow </t>
  </si>
  <si>
    <t>Cash</t>
  </si>
  <si>
    <t>Assets</t>
  </si>
  <si>
    <t>Other Assets</t>
  </si>
  <si>
    <t>Check</t>
  </si>
  <si>
    <t>Net cash</t>
  </si>
  <si>
    <t>Share price</t>
  </si>
  <si>
    <t>BIRD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</si>
</sst>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%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" fontId="0" borderId="3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438353</xdr:colOff>
      <xdr:row>2</xdr:row>
      <xdr:rowOff>146085</xdr:rowOff>
    </xdr:from>
    <xdr:to>
      <xdr:col>13</xdr:col>
      <xdr:colOff>329566</xdr:colOff>
      <xdr:row>47</xdr:row>
      <xdr:rowOff>24329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756353" y="1285910"/>
          <a:ext cx="8603414" cy="113419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46094" style="1" customWidth="1"/>
    <col min="2" max="2" width="14.7656" style="1" customWidth="1"/>
    <col min="3" max="6" width="8.75781" style="1" customWidth="1"/>
    <col min="7" max="16384" width="16.3516" style="1" customWidth="1"/>
  </cols>
  <sheetData>
    <row r="1" ht="62.1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s="4"/>
      <c r="F3" t="s" s="5">
        <v>2</v>
      </c>
    </row>
    <row r="4" ht="20.25" customHeight="1">
      <c r="B4" t="s" s="6">
        <v>3</v>
      </c>
      <c r="C4" s="7">
        <f>AVERAGE('Sales'!G28:G31)</f>
        <v>0.193124416521752</v>
      </c>
      <c r="D4" s="8"/>
      <c r="E4" s="8"/>
      <c r="F4" s="9">
        <f>AVERAGE(C5:F5)</f>
        <v>0.0925</v>
      </c>
    </row>
    <row r="5" ht="20.05" customHeight="1">
      <c r="B5" t="s" s="10">
        <v>4</v>
      </c>
      <c r="C5" s="11">
        <v>0.1</v>
      </c>
      <c r="D5" s="12">
        <v>0.1</v>
      </c>
      <c r="E5" s="12">
        <v>0.12</v>
      </c>
      <c r="F5" s="12">
        <v>0.05</v>
      </c>
    </row>
    <row r="6" ht="20.05" customHeight="1">
      <c r="B6" t="s" s="10">
        <v>5</v>
      </c>
      <c r="C6" s="13">
        <f>'Sales'!C31*(1+C5)</f>
        <v>848.1</v>
      </c>
      <c r="D6" s="14">
        <f>C6*(1+D5)</f>
        <v>932.91</v>
      </c>
      <c r="E6" s="14">
        <f>D6*(1+E5)</f>
        <v>1044.8592</v>
      </c>
      <c r="F6" s="14">
        <f>E6*(1+F5)</f>
        <v>1097.10216</v>
      </c>
    </row>
    <row r="7" ht="20.05" customHeight="1">
      <c r="B7" t="s" s="10">
        <v>6</v>
      </c>
      <c r="C7" s="11">
        <f>AVERAGE('Sales'!H31)</f>
        <v>-0.762516212710765</v>
      </c>
      <c r="D7" s="12">
        <f>C7</f>
        <v>-0.762516212710765</v>
      </c>
      <c r="E7" s="12">
        <f>D7</f>
        <v>-0.762516212710765</v>
      </c>
      <c r="F7" s="12">
        <f>E7</f>
        <v>-0.762516212710765</v>
      </c>
    </row>
    <row r="8" ht="20.05" customHeight="1">
      <c r="B8" t="s" s="10">
        <v>7</v>
      </c>
      <c r="C8" s="15">
        <f>C7*C6</f>
        <v>-646.6900000000001</v>
      </c>
      <c r="D8" s="16">
        <f>D7*D6</f>
        <v>-711.359</v>
      </c>
      <c r="E8" s="16">
        <f>E7*E6</f>
        <v>-796.72208</v>
      </c>
      <c r="F8" s="16">
        <f>F7*F6</f>
        <v>-836.558184</v>
      </c>
    </row>
    <row r="9" ht="20.05" customHeight="1">
      <c r="B9" t="s" s="10">
        <v>8</v>
      </c>
      <c r="C9" s="17">
        <f>C6+C8</f>
        <v>201.41</v>
      </c>
      <c r="D9" s="18">
        <f>D6+D8</f>
        <v>221.551</v>
      </c>
      <c r="E9" s="18">
        <f>E6+E8</f>
        <v>248.13712</v>
      </c>
      <c r="F9" s="18">
        <f>F6+F8</f>
        <v>260.543976</v>
      </c>
    </row>
    <row r="10" ht="20.05" customHeight="1">
      <c r="B10" t="s" s="10">
        <v>9</v>
      </c>
      <c r="C10" s="17">
        <f>AVERAGE('Cashflow'!G28)</f>
        <v>0</v>
      </c>
      <c r="D10" s="18">
        <f>C10</f>
        <v>0</v>
      </c>
      <c r="E10" s="18">
        <f>D10</f>
        <v>0</v>
      </c>
      <c r="F10" s="18">
        <f>E10</f>
        <v>0</v>
      </c>
    </row>
    <row r="11" ht="20.05" customHeight="1">
      <c r="B11" t="s" s="10">
        <v>10</v>
      </c>
      <c r="C11" s="17">
        <f>C12+C13+C15</f>
        <v>-99.3305</v>
      </c>
      <c r="D11" s="18">
        <f>D12+D13+D15</f>
        <v>-101.7478</v>
      </c>
      <c r="E11" s="18">
        <f>E12+E13+E15</f>
        <v>-106.279886</v>
      </c>
      <c r="F11" s="18">
        <f>F12+F13+F15</f>
        <v>-106.7303803</v>
      </c>
    </row>
    <row r="12" ht="20.05" customHeight="1">
      <c r="B12" t="s" s="10">
        <v>11</v>
      </c>
      <c r="C12" s="17">
        <f>-('Balance sheet'!G27)/20</f>
        <v>-72.5</v>
      </c>
      <c r="D12" s="18">
        <f>-C26/20</f>
        <v>-68.875</v>
      </c>
      <c r="E12" s="18">
        <f>-D26/20</f>
        <v>-65.43125000000001</v>
      </c>
      <c r="F12" s="18">
        <f>-E26/20</f>
        <v>-62.1596875</v>
      </c>
    </row>
    <row r="13" ht="20.05" customHeight="1">
      <c r="B13" t="s" s="10">
        <v>12</v>
      </c>
      <c r="C13" s="17">
        <f>IF(C21&gt;0,-C21*0.3,0)</f>
        <v>-26.8305</v>
      </c>
      <c r="D13" s="18">
        <f>IF(D21&gt;0,-D21*0.3,0)</f>
        <v>-32.8728</v>
      </c>
      <c r="E13" s="18">
        <f>IF(E21&gt;0,-E21*0.3,0)</f>
        <v>-40.848636</v>
      </c>
      <c r="F13" s="18">
        <f>IF(F21&gt;0,-F21*0.3,0)</f>
        <v>-44.5706928</v>
      </c>
    </row>
    <row r="14" ht="20.05" customHeight="1">
      <c r="B14" t="s" s="10">
        <v>13</v>
      </c>
      <c r="C14" s="17">
        <f>C9+C10+C12+C13</f>
        <v>102.0795</v>
      </c>
      <c r="D14" s="18">
        <f>D9+D10+D12+D13</f>
        <v>119.8032</v>
      </c>
      <c r="E14" s="18">
        <f>E9+E10+E12+E13</f>
        <v>141.857234</v>
      </c>
      <c r="F14" s="18">
        <f>F9+F10+F12+F13</f>
        <v>153.8135957</v>
      </c>
    </row>
    <row r="15" ht="20.05" customHeight="1">
      <c r="B15" t="s" s="10">
        <v>14</v>
      </c>
      <c r="C15" s="17">
        <f>-MIN(0,C14)</f>
        <v>0</v>
      </c>
      <c r="D15" s="18">
        <f>-MIN(C27,D14)</f>
        <v>0</v>
      </c>
      <c r="E15" s="18">
        <f>-MIN(D27,E14)</f>
        <v>0</v>
      </c>
      <c r="F15" s="18">
        <f>-MIN(E27,F14)</f>
        <v>0</v>
      </c>
    </row>
    <row r="16" ht="20.05" customHeight="1">
      <c r="B16" t="s" s="10">
        <v>15</v>
      </c>
      <c r="C16" s="17">
        <f>'Balance sheet'!C27</f>
        <v>946</v>
      </c>
      <c r="D16" s="18">
        <f>C18</f>
        <v>1048.0795</v>
      </c>
      <c r="E16" s="18">
        <f>D18</f>
        <v>1167.8827</v>
      </c>
      <c r="F16" s="18">
        <f>E18</f>
        <v>1309.739934</v>
      </c>
    </row>
    <row r="17" ht="20.05" customHeight="1">
      <c r="B17" t="s" s="10">
        <v>16</v>
      </c>
      <c r="C17" s="17">
        <f>C9+C10+C11</f>
        <v>102.0795</v>
      </c>
      <c r="D17" s="18">
        <f>D9+D10+D11</f>
        <v>119.8032</v>
      </c>
      <c r="E17" s="18">
        <f>E9+E10+E11</f>
        <v>141.857234</v>
      </c>
      <c r="F17" s="18">
        <f>F9+F10+F11</f>
        <v>153.8135957</v>
      </c>
    </row>
    <row r="18" ht="20.05" customHeight="1">
      <c r="B18" t="s" s="10">
        <v>17</v>
      </c>
      <c r="C18" s="17">
        <f>C16+C17</f>
        <v>1048.0795</v>
      </c>
      <c r="D18" s="18">
        <f>D16+D17</f>
        <v>1167.8827</v>
      </c>
      <c r="E18" s="18">
        <f>E16+E17</f>
        <v>1309.739934</v>
      </c>
      <c r="F18" s="18">
        <f>F16+F17</f>
        <v>1463.5535297</v>
      </c>
    </row>
    <row r="19" ht="20.05" customHeight="1">
      <c r="B19" t="s" s="19">
        <v>18</v>
      </c>
      <c r="C19" s="20"/>
      <c r="D19" s="21"/>
      <c r="E19" s="21"/>
      <c r="F19" s="22"/>
    </row>
    <row r="20" ht="20.05" customHeight="1">
      <c r="B20" t="s" s="10">
        <v>19</v>
      </c>
      <c r="C20" s="17">
        <f>-AVERAGE('Sales'!E28:E31)</f>
        <v>-111.975</v>
      </c>
      <c r="D20" s="18">
        <f>C20</f>
        <v>-111.975</v>
      </c>
      <c r="E20" s="18">
        <f>D20</f>
        <v>-111.975</v>
      </c>
      <c r="F20" s="18">
        <f>E20</f>
        <v>-111.975</v>
      </c>
    </row>
    <row r="21" ht="20.05" customHeight="1">
      <c r="B21" t="s" s="10">
        <v>20</v>
      </c>
      <c r="C21" s="17">
        <f>C6+C8+C20</f>
        <v>89.435</v>
      </c>
      <c r="D21" s="18">
        <f>D6+D8+D20</f>
        <v>109.576</v>
      </c>
      <c r="E21" s="18">
        <f>E6+E8+E20</f>
        <v>136.16212</v>
      </c>
      <c r="F21" s="18">
        <f>F6+F8+F20</f>
        <v>148.568976</v>
      </c>
    </row>
    <row r="22" ht="20.05" customHeight="1">
      <c r="B22" t="s" s="19">
        <v>21</v>
      </c>
      <c r="C22" s="20"/>
      <c r="D22" s="21"/>
      <c r="E22" s="21"/>
      <c r="F22" s="18"/>
    </row>
    <row r="23" ht="20.05" customHeight="1">
      <c r="B23" t="s" s="10">
        <v>22</v>
      </c>
      <c r="C23" s="17">
        <f>'Balance sheet'!E27+'Balance sheet'!F27-C10</f>
        <v>7893</v>
      </c>
      <c r="D23" s="18">
        <f>C23-D10</f>
        <v>7893</v>
      </c>
      <c r="E23" s="18">
        <f>D23-E10</f>
        <v>7893</v>
      </c>
      <c r="F23" s="18">
        <f>E23-F10</f>
        <v>7893</v>
      </c>
    </row>
    <row r="24" ht="20.05" customHeight="1">
      <c r="B24" t="s" s="10">
        <v>23</v>
      </c>
      <c r="C24" s="17">
        <f>'Balance sheet'!F27-C20</f>
        <v>2352.975</v>
      </c>
      <c r="D24" s="18">
        <f>C24-D20</f>
        <v>2464.95</v>
      </c>
      <c r="E24" s="18">
        <f>D24-E20</f>
        <v>2576.925</v>
      </c>
      <c r="F24" s="18">
        <f>E24-F20</f>
        <v>2688.9</v>
      </c>
    </row>
    <row r="25" ht="20.05" customHeight="1">
      <c r="B25" t="s" s="10">
        <v>24</v>
      </c>
      <c r="C25" s="17">
        <f>C23-C24</f>
        <v>5540.025</v>
      </c>
      <c r="D25" s="18">
        <f>D23-D24</f>
        <v>5428.05</v>
      </c>
      <c r="E25" s="18">
        <f>E23-E24</f>
        <v>5316.075</v>
      </c>
      <c r="F25" s="18">
        <f>F23-F24</f>
        <v>5204.1</v>
      </c>
    </row>
    <row r="26" ht="20.05" customHeight="1">
      <c r="B26" t="s" s="10">
        <v>11</v>
      </c>
      <c r="C26" s="17">
        <f>'Balance sheet'!G27+C12</f>
        <v>1377.5</v>
      </c>
      <c r="D26" s="18">
        <f>C26+D12</f>
        <v>1308.625</v>
      </c>
      <c r="E26" s="18">
        <f>D26+E12</f>
        <v>1243.19375</v>
      </c>
      <c r="F26" s="18">
        <f>E26+F12</f>
        <v>1181.0340625</v>
      </c>
    </row>
    <row r="27" ht="20.05" customHeight="1">
      <c r="B27" t="s" s="10">
        <v>14</v>
      </c>
      <c r="C27" s="17">
        <f>C15</f>
        <v>0</v>
      </c>
      <c r="D27" s="18">
        <f>C27+D15</f>
        <v>0</v>
      </c>
      <c r="E27" s="18">
        <f>D27+E15</f>
        <v>0</v>
      </c>
      <c r="F27" s="18">
        <f>E27+F15</f>
        <v>0</v>
      </c>
    </row>
    <row r="28" ht="20.05" customHeight="1">
      <c r="B28" t="s" s="10">
        <v>25</v>
      </c>
      <c r="C28" s="17">
        <f>'Balance sheet'!H27+C21+C13</f>
        <v>5210.6045</v>
      </c>
      <c r="D28" s="18">
        <f>C28+D21+D13</f>
        <v>5287.3077</v>
      </c>
      <c r="E28" s="18">
        <f>D28+E21+E13</f>
        <v>5382.621184</v>
      </c>
      <c r="F28" s="18">
        <f>E28+F21+F13</f>
        <v>5486.6194672</v>
      </c>
    </row>
    <row r="29" ht="20.05" customHeight="1">
      <c r="B29" t="s" s="10">
        <v>26</v>
      </c>
      <c r="C29" s="17">
        <f>C26+C27+C28-C18-C25</f>
        <v>0</v>
      </c>
      <c r="D29" s="18">
        <f>D26+D27+D28-D18-D25</f>
        <v>0</v>
      </c>
      <c r="E29" s="18">
        <f>E26+E27+E28-E18-E25</f>
        <v>0</v>
      </c>
      <c r="F29" s="18">
        <f>F26+F27+F28-F18-F25</f>
        <v>0</v>
      </c>
    </row>
    <row r="30" ht="20.05" customHeight="1">
      <c r="B30" t="s" s="10">
        <v>27</v>
      </c>
      <c r="C30" s="17">
        <f>C18-C26-C27</f>
        <v>-329.4205</v>
      </c>
      <c r="D30" s="18">
        <f>D18-D26-D27</f>
        <v>-140.7423</v>
      </c>
      <c r="E30" s="18">
        <f>E18-E26-E27</f>
        <v>66.546184</v>
      </c>
      <c r="F30" s="18">
        <f>F18-F26-F27</f>
        <v>282.5194672</v>
      </c>
    </row>
    <row r="31" ht="20.05" customHeight="1">
      <c r="B31" t="s" s="19">
        <v>28</v>
      </c>
      <c r="C31" s="17"/>
      <c r="D31" s="18"/>
      <c r="E31" s="18"/>
      <c r="F31" s="18"/>
    </row>
    <row r="32" ht="20.05" customHeight="1">
      <c r="B32" t="s" s="10">
        <v>29</v>
      </c>
      <c r="C32" s="17">
        <f>'Cashflow'!M31-C11</f>
        <v>2738.1305</v>
      </c>
      <c r="D32" s="18">
        <f>C32-D11</f>
        <v>2839.8783</v>
      </c>
      <c r="E32" s="18">
        <f>D32-E11</f>
        <v>2946.158186</v>
      </c>
      <c r="F32" s="18">
        <f>E32-F11</f>
        <v>3052.8885663</v>
      </c>
    </row>
    <row r="33" ht="20.05" customHeight="1">
      <c r="B33" t="s" s="10">
        <v>30</v>
      </c>
      <c r="C33" s="17"/>
      <c r="D33" s="18"/>
      <c r="E33" s="18"/>
      <c r="F33" s="18">
        <v>3240362012160</v>
      </c>
    </row>
    <row r="34" ht="20.05" customHeight="1">
      <c r="B34" t="s" s="10">
        <v>30</v>
      </c>
      <c r="C34" s="17"/>
      <c r="D34" s="18"/>
      <c r="E34" s="18"/>
      <c r="F34" s="18">
        <f>F33/1000000000</f>
        <v>3240.36201216</v>
      </c>
    </row>
    <row r="35" ht="20.05" customHeight="1">
      <c r="B35" t="s" s="10">
        <v>31</v>
      </c>
      <c r="C35" s="17"/>
      <c r="D35" s="18"/>
      <c r="E35" s="18"/>
      <c r="F35" s="23">
        <f>F34/(F18+F25)</f>
        <v>0.485982362119796</v>
      </c>
    </row>
    <row r="36" ht="20.05" customHeight="1">
      <c r="B36" t="s" s="10">
        <v>32</v>
      </c>
      <c r="C36" s="17"/>
      <c r="D36" s="18"/>
      <c r="E36" s="18"/>
      <c r="F36" s="24">
        <f>-(C13+D13+E13+F13)/F34</f>
        <v>0.0447859307865612</v>
      </c>
    </row>
    <row r="37" ht="20.05" customHeight="1">
      <c r="B37" t="s" s="10">
        <v>3</v>
      </c>
      <c r="C37" s="17"/>
      <c r="D37" s="18"/>
      <c r="E37" s="18"/>
      <c r="F37" s="18">
        <f>SUM(C9:F10)</f>
        <v>931.642096</v>
      </c>
    </row>
    <row r="38" ht="20.05" customHeight="1">
      <c r="B38" t="s" s="10">
        <v>33</v>
      </c>
      <c r="C38" s="17"/>
      <c r="D38" s="18"/>
      <c r="E38" s="18"/>
      <c r="F38" s="18">
        <f>'Balance sheet'!E27/F37</f>
        <v>6.06670740219536</v>
      </c>
    </row>
    <row r="39" ht="20.05" customHeight="1">
      <c r="B39" t="s" s="10">
        <v>28</v>
      </c>
      <c r="C39" s="17"/>
      <c r="D39" s="18"/>
      <c r="E39" s="18"/>
      <c r="F39" s="18">
        <f>F34/F37</f>
        <v>3.47811893222996</v>
      </c>
    </row>
    <row r="40" ht="20.05" customHeight="1">
      <c r="B40" t="s" s="10">
        <v>34</v>
      </c>
      <c r="C40" s="17"/>
      <c r="D40" s="18"/>
      <c r="E40" s="18"/>
      <c r="F40" s="18">
        <v>10</v>
      </c>
    </row>
    <row r="41" ht="20.05" customHeight="1">
      <c r="B41" t="s" s="10">
        <v>35</v>
      </c>
      <c r="C41" s="17"/>
      <c r="D41" s="18"/>
      <c r="E41" s="18"/>
      <c r="F41" s="18">
        <f>F37*F40</f>
        <v>9316.420959999999</v>
      </c>
    </row>
    <row r="42" ht="20.05" customHeight="1">
      <c r="B42" t="s" s="10">
        <v>36</v>
      </c>
      <c r="C42" s="17"/>
      <c r="D42" s="18"/>
      <c r="E42" s="18"/>
      <c r="F42" s="18">
        <f>F34/F44</f>
        <v>2.502210048</v>
      </c>
    </row>
    <row r="43" ht="20.05" customHeight="1">
      <c r="B43" t="s" s="10">
        <v>37</v>
      </c>
      <c r="C43" s="17"/>
      <c r="D43" s="18"/>
      <c r="E43" s="18"/>
      <c r="F43" s="18">
        <f>F41/F42</f>
        <v>3723.276935701920</v>
      </c>
    </row>
    <row r="44" ht="20.05" customHeight="1">
      <c r="B44" t="s" s="10">
        <v>38</v>
      </c>
      <c r="C44" s="17"/>
      <c r="D44" s="18"/>
      <c r="E44" s="18"/>
      <c r="F44" s="18">
        <v>1295</v>
      </c>
    </row>
    <row r="45" ht="20.05" customHeight="1">
      <c r="B45" t="s" s="10">
        <v>39</v>
      </c>
      <c r="C45" s="17"/>
      <c r="D45" s="18"/>
      <c r="E45" s="18"/>
      <c r="F45" s="24">
        <f>F43/F44-1</f>
        <v>1.87511732486635</v>
      </c>
    </row>
    <row r="46" ht="20.05" customHeight="1">
      <c r="B46" t="s" s="10">
        <v>40</v>
      </c>
      <c r="C46" s="17"/>
      <c r="D46" s="18"/>
      <c r="E46" s="18"/>
      <c r="F46" s="24">
        <f>'Sales'!C31/'Sales'!C27-1</f>
        <v>0.561360874848117</v>
      </c>
    </row>
    <row r="47" ht="20.05" customHeight="1">
      <c r="B47" t="s" s="10">
        <v>41</v>
      </c>
      <c r="C47" s="17"/>
      <c r="D47" s="18"/>
      <c r="E47" s="18"/>
      <c r="F47" s="24">
        <f>('Sales'!D22+'Sales'!D31+'Sales'!D30+'Sales'!D23+'Sales'!D24+'Sales'!D25+'Sales'!D26+'Sales'!D27+'Sales'!D28+'Sales'!D29)/('Sales'!C22+'Sales'!C23+'Sales'!C24+'Sales'!C25+'Sales'!C26+'Sales'!C27+'Sales'!C28+'Sales'!C30+'Sales'!C31+'Sales'!C29)-1</f>
        <v>0.107307229574538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92188" style="25" customWidth="1"/>
    <col min="2" max="2" width="7.98438" style="25" customWidth="1"/>
    <col min="3" max="11" width="10.875" style="25" customWidth="1"/>
    <col min="12" max="16384" width="16.3516" style="25" customWidth="1"/>
  </cols>
  <sheetData>
    <row r="1" ht="13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</v>
      </c>
      <c r="D3" t="s" s="5">
        <v>34</v>
      </c>
      <c r="E3" t="s" s="5">
        <v>23</v>
      </c>
      <c r="F3" t="s" s="5">
        <v>20</v>
      </c>
      <c r="G3" t="s" s="5">
        <v>42</v>
      </c>
      <c r="H3" t="s" s="5">
        <v>43</v>
      </c>
      <c r="I3" t="s" s="5">
        <v>43</v>
      </c>
      <c r="J3" t="s" s="5">
        <v>34</v>
      </c>
      <c r="K3" t="s" s="5">
        <v>44</v>
      </c>
    </row>
    <row r="4" ht="20.25" customHeight="1">
      <c r="B4" s="26">
        <v>2015</v>
      </c>
      <c r="C4" s="27">
        <v>1284</v>
      </c>
      <c r="D4" s="28"/>
      <c r="E4" s="29">
        <v>173</v>
      </c>
      <c r="F4" s="29">
        <v>225</v>
      </c>
      <c r="G4" s="9"/>
      <c r="H4" s="30">
        <f>(E4+F4-C4)/C4</f>
        <v>-0.690031152647975</v>
      </c>
      <c r="I4" s="30"/>
      <c r="J4" s="30"/>
      <c r="K4" s="30"/>
    </row>
    <row r="5" ht="20.05" customHeight="1">
      <c r="B5" s="31"/>
      <c r="C5" s="17">
        <v>1383</v>
      </c>
      <c r="D5" s="21"/>
      <c r="E5" s="18">
        <v>175</v>
      </c>
      <c r="F5" s="18">
        <v>222</v>
      </c>
      <c r="G5" s="24">
        <f>C5/C4-1</f>
        <v>0.07710280373831779</v>
      </c>
      <c r="H5" s="24">
        <f>(E5+F5-C5)/C5</f>
        <v>-0.71294287780188</v>
      </c>
      <c r="I5" s="24"/>
      <c r="J5" s="24"/>
      <c r="K5" s="24"/>
    </row>
    <row r="6" ht="20.05" customHeight="1">
      <c r="B6" s="31"/>
      <c r="C6" s="17">
        <v>1368</v>
      </c>
      <c r="D6" s="21"/>
      <c r="E6" s="18">
        <v>176</v>
      </c>
      <c r="F6" s="18">
        <v>182</v>
      </c>
      <c r="G6" s="24">
        <f>C6/C5-1</f>
        <v>-0.0108459869848156</v>
      </c>
      <c r="H6" s="24">
        <f>(E6+F6-C6)/C6</f>
        <v>-0.738304093567251</v>
      </c>
      <c r="I6" s="24"/>
      <c r="J6" s="24"/>
      <c r="K6" s="24"/>
    </row>
    <row r="7" ht="20.05" customHeight="1">
      <c r="B7" s="31"/>
      <c r="C7" s="17">
        <v>1437</v>
      </c>
      <c r="D7" s="21"/>
      <c r="E7" s="18">
        <v>170</v>
      </c>
      <c r="F7" s="18">
        <v>200</v>
      </c>
      <c r="G7" s="24">
        <f>C7/C6-1</f>
        <v>0.0504385964912281</v>
      </c>
      <c r="H7" s="24">
        <f>(E7+F7-C7)/C7</f>
        <v>-0.742519137091162</v>
      </c>
      <c r="I7" s="24"/>
      <c r="J7" s="24"/>
      <c r="K7" s="24"/>
    </row>
    <row r="8" ht="20.05" customHeight="1">
      <c r="B8" s="32">
        <v>2016</v>
      </c>
      <c r="C8" s="17">
        <v>1275</v>
      </c>
      <c r="D8" s="21"/>
      <c r="E8" s="18">
        <v>179</v>
      </c>
      <c r="F8" s="18">
        <v>139</v>
      </c>
      <c r="G8" s="24">
        <f>C8/C7-1</f>
        <v>-0.112734864300626</v>
      </c>
      <c r="H8" s="24">
        <f>(E8+F8-C8)/C8</f>
        <v>-0.750588235294118</v>
      </c>
      <c r="I8" s="24"/>
      <c r="J8" s="24"/>
      <c r="K8" s="24"/>
    </row>
    <row r="9" ht="20.05" customHeight="1">
      <c r="B9" s="31"/>
      <c r="C9" s="17">
        <v>1197</v>
      </c>
      <c r="D9" s="21"/>
      <c r="E9" s="18">
        <v>185</v>
      </c>
      <c r="F9" s="18">
        <v>91</v>
      </c>
      <c r="G9" s="24">
        <f>C9/C8-1</f>
        <v>-0.0611764705882353</v>
      </c>
      <c r="H9" s="24">
        <f>(E9+F9-C9)/C9</f>
        <v>-0.769423558897243</v>
      </c>
      <c r="I9" s="24"/>
      <c r="J9" s="24"/>
      <c r="K9" s="24"/>
    </row>
    <row r="10" ht="20.05" customHeight="1">
      <c r="B10" s="31"/>
      <c r="C10" s="17">
        <v>1173</v>
      </c>
      <c r="D10" s="21"/>
      <c r="E10" s="18">
        <v>184</v>
      </c>
      <c r="F10" s="18">
        <v>133</v>
      </c>
      <c r="G10" s="24">
        <f>C10/C9-1</f>
        <v>-0.0200501253132832</v>
      </c>
      <c r="H10" s="24">
        <f>(E10+F10-C10)/C10</f>
        <v>-0.729752770673487</v>
      </c>
      <c r="I10" s="24"/>
      <c r="J10" s="24"/>
      <c r="K10" s="24"/>
    </row>
    <row r="11" ht="20.05" customHeight="1">
      <c r="B11" s="31"/>
      <c r="C11" s="17">
        <v>1151</v>
      </c>
      <c r="D11" s="21"/>
      <c r="E11" s="18">
        <v>174</v>
      </c>
      <c r="F11" s="18">
        <v>147</v>
      </c>
      <c r="G11" s="24">
        <f>C11/C10-1</f>
        <v>-0.0187553282182438</v>
      </c>
      <c r="H11" s="24">
        <f>(E11+F11-C11)/C11</f>
        <v>-0.721112076455256</v>
      </c>
      <c r="I11" s="24"/>
      <c r="J11" s="24"/>
      <c r="K11" s="24"/>
    </row>
    <row r="12" ht="20.05" customHeight="1">
      <c r="B12" s="32">
        <v>2017</v>
      </c>
      <c r="C12" s="17">
        <v>1040</v>
      </c>
      <c r="D12" s="21"/>
      <c r="E12" s="18">
        <v>168</v>
      </c>
      <c r="F12" s="18">
        <v>118</v>
      </c>
      <c r="G12" s="24">
        <f>C12/C11-1</f>
        <v>-0.0964378801042572</v>
      </c>
      <c r="H12" s="24">
        <f>(E12+F12-C12)/C12</f>
        <v>-0.725</v>
      </c>
      <c r="I12" s="24"/>
      <c r="J12" s="24"/>
      <c r="K12" s="24"/>
    </row>
    <row r="13" ht="20.05" customHeight="1">
      <c r="B13" s="31"/>
      <c r="C13" s="17">
        <v>1042</v>
      </c>
      <c r="D13" s="21"/>
      <c r="E13" s="18">
        <v>172</v>
      </c>
      <c r="F13" s="18">
        <v>76</v>
      </c>
      <c r="G13" s="24">
        <f>C13/C12-1</f>
        <v>0.00192307692307692</v>
      </c>
      <c r="H13" s="24">
        <f>(E13+F13-C13)/C13</f>
        <v>-0.761996161228407</v>
      </c>
      <c r="I13" s="24"/>
      <c r="J13" s="24"/>
      <c r="K13" s="24"/>
    </row>
    <row r="14" ht="20.05" customHeight="1">
      <c r="B14" s="31"/>
      <c r="C14" s="17">
        <v>1049</v>
      </c>
      <c r="D14" s="21"/>
      <c r="E14" s="18">
        <v>158</v>
      </c>
      <c r="F14" s="18">
        <v>110</v>
      </c>
      <c r="G14" s="24">
        <f>C14/C13-1</f>
        <v>0.00671785028790787</v>
      </c>
      <c r="H14" s="24">
        <f>(E14+F14-C14)/C14</f>
        <v>-0.744518589132507</v>
      </c>
      <c r="I14" s="24"/>
      <c r="J14" s="24"/>
      <c r="K14" s="24"/>
    </row>
    <row r="15" ht="20.05" customHeight="1">
      <c r="B15" s="31"/>
      <c r="C15" s="17">
        <v>1073</v>
      </c>
      <c r="D15" s="21"/>
      <c r="E15" s="18">
        <v>151</v>
      </c>
      <c r="F15" s="18">
        <v>123</v>
      </c>
      <c r="G15" s="24">
        <f>C15/C14-1</f>
        <v>0.0228789323164919</v>
      </c>
      <c r="H15" s="24">
        <f>(E15+F15-C15)/C15</f>
        <v>-0.744641192917055</v>
      </c>
      <c r="I15" s="24"/>
      <c r="J15" s="24"/>
      <c r="K15" s="24"/>
    </row>
    <row r="16" ht="20.05" customHeight="1">
      <c r="B16" s="32">
        <v>2018</v>
      </c>
      <c r="C16" s="17">
        <v>973</v>
      </c>
      <c r="D16" s="21"/>
      <c r="E16" s="18">
        <v>145</v>
      </c>
      <c r="F16" s="18">
        <v>99</v>
      </c>
      <c r="G16" s="24">
        <f>C16/C15-1</f>
        <v>-0.0931966449207829</v>
      </c>
      <c r="H16" s="24">
        <f>(E16+F16-C16)/C16</f>
        <v>-0.749229188078109</v>
      </c>
      <c r="I16" s="24">
        <f>AVERAGE(H13:H16)</f>
        <v>-0.75009628283902</v>
      </c>
      <c r="J16" s="24"/>
      <c r="K16" s="24"/>
    </row>
    <row r="17" ht="20.05" customHeight="1">
      <c r="B17" s="31"/>
      <c r="C17" s="17">
        <v>998</v>
      </c>
      <c r="D17" s="21"/>
      <c r="E17" s="18">
        <v>143</v>
      </c>
      <c r="F17" s="18">
        <v>93</v>
      </c>
      <c r="G17" s="24">
        <f>C17/C16-1</f>
        <v>0.025693730729702</v>
      </c>
      <c r="H17" s="24">
        <f>(E17+F17-C17)/C17</f>
        <v>-0.763527054108216</v>
      </c>
      <c r="I17" s="24">
        <f>AVERAGE(H14:H17)</f>
        <v>-0.750479006058972</v>
      </c>
      <c r="J17" s="24"/>
      <c r="K17" s="24"/>
    </row>
    <row r="18" ht="20.05" customHeight="1">
      <c r="B18" s="31"/>
      <c r="C18" s="17">
        <v>1137</v>
      </c>
      <c r="D18" s="21"/>
      <c r="E18" s="18">
        <v>140</v>
      </c>
      <c r="F18" s="18">
        <v>145</v>
      </c>
      <c r="G18" s="24">
        <f>C18/C17-1</f>
        <v>0.139278557114228</v>
      </c>
      <c r="H18" s="24">
        <f>(E18+F18-C18)/C18</f>
        <v>-0.74934036939314</v>
      </c>
      <c r="I18" s="24">
        <f>AVERAGE(H15:H18)</f>
        <v>-0.75168445112413</v>
      </c>
      <c r="J18" s="24"/>
      <c r="K18" s="24"/>
    </row>
    <row r="19" ht="20.05" customHeight="1">
      <c r="B19" s="31"/>
      <c r="C19" s="17">
        <v>1111</v>
      </c>
      <c r="D19" s="21"/>
      <c r="E19" s="18">
        <v>137</v>
      </c>
      <c r="F19" s="18">
        <v>123</v>
      </c>
      <c r="G19" s="24">
        <f>C19/C18-1</f>
        <v>-0.0228671943711522</v>
      </c>
      <c r="H19" s="24">
        <f>(E19+F19-C19)/C19</f>
        <v>-0.765976597659766</v>
      </c>
      <c r="I19" s="24">
        <f>AVERAGE(H16:H19)</f>
        <v>-0.757018302309808</v>
      </c>
      <c r="J19" s="24"/>
      <c r="K19" s="24"/>
    </row>
    <row r="20" ht="20.05" customHeight="1">
      <c r="B20" s="32">
        <v>2019</v>
      </c>
      <c r="C20" s="17">
        <v>977</v>
      </c>
      <c r="D20" s="21"/>
      <c r="E20" s="18">
        <v>132</v>
      </c>
      <c r="F20" s="18">
        <v>89</v>
      </c>
      <c r="G20" s="24">
        <f>C20/C19-1</f>
        <v>-0.120612061206121</v>
      </c>
      <c r="H20" s="24">
        <f>(E20+F20-C20)/C20</f>
        <v>-0.773797338792221</v>
      </c>
      <c r="I20" s="24">
        <f>AVERAGE(H17:H20)</f>
        <v>-0.763160339988336</v>
      </c>
      <c r="J20" s="24"/>
      <c r="K20" s="24">
        <f>('Cashflow'!E20-'Cashflow'!C20)/'Cashflow'!C20</f>
        <v>-0.77261191757182</v>
      </c>
    </row>
    <row r="21" ht="20.05" customHeight="1">
      <c r="B21" s="31"/>
      <c r="C21" s="17">
        <v>938</v>
      </c>
      <c r="D21" s="21"/>
      <c r="E21" s="18">
        <v>126</v>
      </c>
      <c r="F21" s="18">
        <v>69</v>
      </c>
      <c r="G21" s="24">
        <f>C21/C20-1</f>
        <v>-0.0399181166837257</v>
      </c>
      <c r="H21" s="24">
        <f>(E21+F21-C21)/C21</f>
        <v>-0.792110874200426</v>
      </c>
      <c r="I21" s="24">
        <f>AVERAGE(H18:H21)</f>
        <v>-0.770306295011388</v>
      </c>
      <c r="J21" s="24"/>
      <c r="K21" s="24">
        <f>('Cashflow'!E21-'Cashflow'!C21)/'Cashflow'!C21</f>
        <v>-0.874732661167125</v>
      </c>
    </row>
    <row r="22" ht="20.05" customHeight="1">
      <c r="B22" s="31"/>
      <c r="C22" s="17">
        <v>1046</v>
      </c>
      <c r="D22" s="18">
        <v>1023.3</v>
      </c>
      <c r="E22" s="18">
        <v>129</v>
      </c>
      <c r="F22" s="18">
        <v>72</v>
      </c>
      <c r="G22" s="24">
        <f>C22/C21-1</f>
        <v>0.115138592750533</v>
      </c>
      <c r="H22" s="24">
        <f>(E22+F22-C22)/C22</f>
        <v>-0.807839388145315</v>
      </c>
      <c r="I22" s="24">
        <f>AVERAGE(H19:H22)</f>
        <v>-0.7849310496994319</v>
      </c>
      <c r="J22" s="24"/>
      <c r="K22" s="24">
        <f>('Cashflow'!E22-'Cashflow'!C22)/'Cashflow'!C22</f>
        <v>-0.850398479745564</v>
      </c>
    </row>
    <row r="23" ht="20.05" customHeight="1">
      <c r="B23" s="31"/>
      <c r="C23" s="17">
        <v>1086.6</v>
      </c>
      <c r="D23" s="18">
        <v>1088.78</v>
      </c>
      <c r="E23" s="18">
        <v>134</v>
      </c>
      <c r="F23" s="18">
        <v>85.59999999999999</v>
      </c>
      <c r="G23" s="24">
        <f>C23/C22-1</f>
        <v>0.0388145315487572</v>
      </c>
      <c r="H23" s="24">
        <f>(E23+F23-C23)/C23</f>
        <v>-0.797901711761458</v>
      </c>
      <c r="I23" s="24">
        <f>AVERAGE(H20:H23)</f>
        <v>-0.792912328224855</v>
      </c>
      <c r="J23" s="24"/>
      <c r="K23" s="24">
        <f>('Cashflow'!E23-'Cashflow'!C23)/'Cashflow'!C23</f>
        <v>-0.788724955104053</v>
      </c>
    </row>
    <row r="24" ht="20.05" customHeight="1">
      <c r="B24" s="32">
        <v>2020</v>
      </c>
      <c r="C24" s="17">
        <v>885</v>
      </c>
      <c r="D24" s="18">
        <v>977</v>
      </c>
      <c r="E24" s="18">
        <v>133.5</v>
      </c>
      <c r="F24" s="18">
        <v>13.78</v>
      </c>
      <c r="G24" s="24">
        <f>C24/C23-1</f>
        <v>-0.185532854776367</v>
      </c>
      <c r="H24" s="24">
        <f>(E24+F24-C24)/C24</f>
        <v>-0.833581920903955</v>
      </c>
      <c r="I24" s="24">
        <f>AVERAGE(H21:H24)</f>
        <v>-0.807858473752789</v>
      </c>
      <c r="J24" s="24"/>
      <c r="K24" s="24">
        <f>('Cashflow'!E24-'Cashflow'!C24)/'Cashflow'!C24</f>
        <v>-0.842152119429007</v>
      </c>
    </row>
    <row r="25" ht="20.05" customHeight="1">
      <c r="B25" s="31"/>
      <c r="C25" s="17">
        <v>266</v>
      </c>
      <c r="D25" s="18">
        <v>844.2</v>
      </c>
      <c r="E25" s="18">
        <v>132.5</v>
      </c>
      <c r="F25" s="18">
        <v>-108.78</v>
      </c>
      <c r="G25" s="24">
        <f>C25/C24-1</f>
        <v>-0.6994350282485881</v>
      </c>
      <c r="H25" s="24">
        <f>(E25+F25-C25)/C25</f>
        <v>-0.910827067669173</v>
      </c>
      <c r="I25" s="24">
        <f>AVERAGE(H22:H25)</f>
        <v>-0.837537522119975</v>
      </c>
      <c r="J25" s="24"/>
      <c r="K25" s="24">
        <f>('Cashflow'!E25-'Cashflow'!C25)/'Cashflow'!C25</f>
        <v>-0.880424057649667</v>
      </c>
    </row>
    <row r="26" ht="20.05" customHeight="1">
      <c r="B26" s="31"/>
      <c r="C26" s="17">
        <v>401.9</v>
      </c>
      <c r="D26" s="18">
        <v>470.7</v>
      </c>
      <c r="E26" s="18">
        <v>133</v>
      </c>
      <c r="F26" s="18">
        <v>-62.9</v>
      </c>
      <c r="G26" s="24">
        <f>C26/C25-1</f>
        <v>0.510902255639098</v>
      </c>
      <c r="H26" s="24">
        <f>(E26+F26-C26)/C26</f>
        <v>-0.825578502114954</v>
      </c>
      <c r="I26" s="24">
        <f>AVERAGE(H23:H26)</f>
        <v>-0.841972300612385</v>
      </c>
      <c r="J26" s="24"/>
      <c r="K26" s="24">
        <f>('Cashflow'!E26-'Cashflow'!C26)/'Cashflow'!C26</f>
        <v>-0.911501642262501</v>
      </c>
    </row>
    <row r="27" ht="20.05" customHeight="1">
      <c r="B27" s="31"/>
      <c r="C27" s="17">
        <f>2046.7-SUM(C24:C26)</f>
        <v>493.8</v>
      </c>
      <c r="D27" s="18">
        <v>502.375</v>
      </c>
      <c r="E27" s="18">
        <f>528.1-SUM(E24:E26)</f>
        <v>129.1</v>
      </c>
      <c r="F27" s="18">
        <f>-163.2-SUM(F24:F26)</f>
        <v>-5.3</v>
      </c>
      <c r="G27" s="24">
        <f>C27/C26-1</f>
        <v>0.228663846728042</v>
      </c>
      <c r="H27" s="24">
        <f>(E27+F27-C27)/C27</f>
        <v>-0.749291211016606</v>
      </c>
      <c r="I27" s="24">
        <f>AVERAGE(H24:H27)</f>
        <v>-0.829819675426172</v>
      </c>
      <c r="J27" s="24"/>
      <c r="K27" s="24">
        <f>('Cashflow'!E27-'Cashflow'!C27)/'Cashflow'!C27</f>
        <v>-0.988667172112114</v>
      </c>
    </row>
    <row r="28" ht="20.05" customHeight="1">
      <c r="B28" s="32">
        <v>2021</v>
      </c>
      <c r="C28" s="17">
        <v>480</v>
      </c>
      <c r="D28" s="18">
        <v>493.8</v>
      </c>
      <c r="E28" s="18">
        <v>120.3</v>
      </c>
      <c r="F28" s="18">
        <v>-28.3</v>
      </c>
      <c r="G28" s="24">
        <f>C28/C27-1</f>
        <v>-0.0279465370595383</v>
      </c>
      <c r="H28" s="24">
        <f>(E28+F28-C28)/C28</f>
        <v>-0.808333333333333</v>
      </c>
      <c r="I28" s="24">
        <f>AVERAGE(H25:H28)</f>
        <v>-0.8235075285335171</v>
      </c>
      <c r="J28" s="24"/>
      <c r="K28" s="24">
        <f>('Cashflow'!E28-'Cashflow'!C28)/'Cashflow'!C28</f>
        <v>-0.872877758913413</v>
      </c>
    </row>
    <row r="29" ht="20.05" customHeight="1">
      <c r="B29" s="31"/>
      <c r="C29" s="17">
        <f>1045.6-C28</f>
        <v>565.6</v>
      </c>
      <c r="D29" s="18">
        <v>552</v>
      </c>
      <c r="E29" s="18">
        <f>231.5-E28</f>
        <v>111.2</v>
      </c>
      <c r="F29" s="18">
        <f>-30.1-F28</f>
        <v>-1.8</v>
      </c>
      <c r="G29" s="24">
        <f>C29/C28-1</f>
        <v>0.178333333333333</v>
      </c>
      <c r="H29" s="24">
        <f>(E29+F29-C29)/C29</f>
        <v>-0.806577086280057</v>
      </c>
      <c r="I29" s="24">
        <f>AVERAGE(H26:H29)</f>
        <v>-0.7974450331862381</v>
      </c>
      <c r="J29" s="24"/>
      <c r="K29" s="24">
        <f>('Cashflow'!E29-'Cashflow'!C29)/'Cashflow'!C29</f>
        <v>-0.927963895157091</v>
      </c>
    </row>
    <row r="30" ht="20.05" customHeight="1">
      <c r="B30" s="31"/>
      <c r="C30" s="17">
        <f>1449.8-SUM(C28:C29)</f>
        <v>404.2</v>
      </c>
      <c r="D30" s="21">
        <v>548.6319999999999</v>
      </c>
      <c r="E30" s="18">
        <f>339.8-SUM(E28:E29)</f>
        <v>108.3</v>
      </c>
      <c r="F30" s="18">
        <f>-66.3-SUM(F28:F29)</f>
        <v>-36.2</v>
      </c>
      <c r="G30" s="24">
        <f>C30/C29-1</f>
        <v>-0.285360678925035</v>
      </c>
      <c r="H30" s="24">
        <f>(E30+F30-C30)/C30</f>
        <v>-0.8216229589312219</v>
      </c>
      <c r="I30" s="24">
        <f>AVERAGE(H27:H30)</f>
        <v>-0.796456147390305</v>
      </c>
      <c r="J30" s="24"/>
      <c r="K30" s="24">
        <f>('Cashflow'!E30-'Cashflow'!C30)/'Cashflow'!C30</f>
        <v>-0.9353784259492079</v>
      </c>
    </row>
    <row r="31" ht="20.05" customHeight="1">
      <c r="B31" s="31"/>
      <c r="C31" s="17">
        <f>2220.8-SUM(C28:C30)</f>
        <v>771</v>
      </c>
      <c r="D31" s="21">
        <v>586.09</v>
      </c>
      <c r="E31" s="16">
        <f>447.9-SUM(E28:E30)</f>
        <v>108.1</v>
      </c>
      <c r="F31" s="21">
        <f>8.7-SUM(F28:F30)</f>
        <v>75</v>
      </c>
      <c r="G31" s="24">
        <f>C31/C30-1</f>
        <v>0.907471548738248</v>
      </c>
      <c r="H31" s="24">
        <f>(E31+F31-C31)/C31</f>
        <v>-0.762516212710765</v>
      </c>
      <c r="I31" s="24">
        <f>AVERAGE(H28:H31)</f>
        <v>-0.799762397813844</v>
      </c>
      <c r="J31" s="24">
        <f>I31</f>
        <v>-0.799762397813844</v>
      </c>
      <c r="K31" s="24">
        <f>('Cashflow'!E31-'Cashflow'!C31)/'Cashflow'!C31</f>
        <v>-0.769520592438612</v>
      </c>
    </row>
    <row r="32" ht="20.05" customHeight="1">
      <c r="B32" s="32">
        <v>2022</v>
      </c>
      <c r="C32" s="17"/>
      <c r="D32" s="21">
        <f>'Model'!C6</f>
        <v>848.1</v>
      </c>
      <c r="E32" s="21"/>
      <c r="F32" s="21"/>
      <c r="G32" s="12"/>
      <c r="H32" s="22"/>
      <c r="I32" s="12"/>
      <c r="J32" s="12">
        <f>'Model'!C7</f>
        <v>-0.762516212710765</v>
      </c>
      <c r="K32" s="12"/>
    </row>
    <row r="33" ht="20.05" customHeight="1">
      <c r="B33" s="31"/>
      <c r="C33" s="17"/>
      <c r="D33" s="18">
        <f>'Model'!D6</f>
        <v>932.91</v>
      </c>
      <c r="E33" s="21"/>
      <c r="F33" s="21"/>
      <c r="G33" s="12"/>
      <c r="H33" s="12"/>
      <c r="I33" s="12"/>
      <c r="J33" s="12"/>
      <c r="K33" s="12"/>
    </row>
    <row r="34" ht="20.05" customHeight="1">
      <c r="B34" s="31"/>
      <c r="C34" s="17"/>
      <c r="D34" s="18">
        <f>'Model'!E6</f>
        <v>1044.8592</v>
      </c>
      <c r="E34" s="21"/>
      <c r="F34" s="21"/>
      <c r="G34" s="12"/>
      <c r="H34" s="12"/>
      <c r="I34" s="12"/>
      <c r="J34" s="12"/>
      <c r="K34" s="12"/>
    </row>
    <row r="35" ht="20.05" customHeight="1">
      <c r="B35" s="31"/>
      <c r="C35" s="17"/>
      <c r="D35" s="18">
        <f>'Model'!F6</f>
        <v>1097.10216</v>
      </c>
      <c r="E35" s="21"/>
      <c r="F35" s="21"/>
      <c r="G35" s="12"/>
      <c r="H35" s="12"/>
      <c r="I35" s="12"/>
      <c r="J35" s="12"/>
      <c r="K35" s="12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N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.39844" style="33" customWidth="1"/>
    <col min="2" max="2" width="9.26562" style="33" customWidth="1"/>
    <col min="3" max="5" width="12.125" style="33" customWidth="1"/>
    <col min="6" max="6" width="11.8906" style="33" customWidth="1"/>
    <col min="7" max="14" width="11.125" style="33" customWidth="1"/>
    <col min="15" max="16384" width="16.3516" style="33" customWidth="1"/>
  </cols>
  <sheetData>
    <row r="1" ht="34.4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2.25" customHeight="1">
      <c r="B3" t="s" s="5">
        <v>1</v>
      </c>
      <c r="C3" t="s" s="5">
        <v>45</v>
      </c>
      <c r="D3" t="s" s="5">
        <v>46</v>
      </c>
      <c r="E3" t="s" s="5">
        <v>47</v>
      </c>
      <c r="F3" t="s" s="5">
        <v>48</v>
      </c>
      <c r="G3" t="s" s="5">
        <v>49</v>
      </c>
      <c r="H3" t="s" s="5">
        <v>12</v>
      </c>
      <c r="I3" t="s" s="5">
        <v>10</v>
      </c>
      <c r="J3" t="s" s="5">
        <v>50</v>
      </c>
      <c r="K3" t="s" s="5">
        <v>3</v>
      </c>
      <c r="L3" t="s" s="5">
        <v>34</v>
      </c>
      <c r="M3" t="s" s="5">
        <v>29</v>
      </c>
      <c r="N3" t="s" s="5">
        <v>34</v>
      </c>
    </row>
    <row r="4" ht="20.25" customHeight="1">
      <c r="B4" s="26">
        <v>2015</v>
      </c>
      <c r="C4" s="34"/>
      <c r="D4" s="29"/>
      <c r="E4" s="29">
        <v>412</v>
      </c>
      <c r="F4" s="29">
        <v>-412</v>
      </c>
      <c r="G4" s="29"/>
      <c r="H4" s="29"/>
      <c r="I4" s="29">
        <v>-129</v>
      </c>
      <c r="J4" s="35">
        <f>E4+F4</f>
        <v>0</v>
      </c>
      <c r="K4" s="35"/>
      <c r="L4" s="29"/>
      <c r="M4" s="29">
        <f>-I4</f>
        <v>129</v>
      </c>
      <c r="N4" s="29"/>
    </row>
    <row r="5" ht="20.05" customHeight="1">
      <c r="B5" s="31"/>
      <c r="C5" s="15"/>
      <c r="D5" s="18"/>
      <c r="E5" s="18">
        <v>354</v>
      </c>
      <c r="F5" s="18">
        <v>-309</v>
      </c>
      <c r="G5" s="18"/>
      <c r="H5" s="18"/>
      <c r="I5" s="18">
        <v>-300</v>
      </c>
      <c r="J5" s="16">
        <f>E5+F5</f>
        <v>45</v>
      </c>
      <c r="K5" s="16"/>
      <c r="L5" s="18"/>
      <c r="M5" s="18">
        <f>-I5+M4</f>
        <v>429</v>
      </c>
      <c r="N5" s="18"/>
    </row>
    <row r="6" ht="20.05" customHeight="1">
      <c r="B6" s="31"/>
      <c r="C6" s="15"/>
      <c r="D6" s="18"/>
      <c r="E6" s="18">
        <v>298</v>
      </c>
      <c r="F6" s="18">
        <v>-172</v>
      </c>
      <c r="G6" s="18"/>
      <c r="H6" s="18"/>
      <c r="I6" s="18">
        <v>-445</v>
      </c>
      <c r="J6" s="16">
        <f>E6+F6</f>
        <v>126</v>
      </c>
      <c r="K6" s="16"/>
      <c r="L6" s="18"/>
      <c r="M6" s="18">
        <f>-I6+M5</f>
        <v>874</v>
      </c>
      <c r="N6" s="18"/>
    </row>
    <row r="7" ht="20.05" customHeight="1">
      <c r="B7" s="31"/>
      <c r="C7" s="15"/>
      <c r="D7" s="18"/>
      <c r="E7" s="18">
        <v>412</v>
      </c>
      <c r="F7" s="18">
        <v>-484</v>
      </c>
      <c r="G7" s="18"/>
      <c r="H7" s="18"/>
      <c r="I7" s="18">
        <v>96</v>
      </c>
      <c r="J7" s="16">
        <f>E7+F7</f>
        <v>-72</v>
      </c>
      <c r="K7" s="16"/>
      <c r="L7" s="18"/>
      <c r="M7" s="18">
        <f>-I7+M6</f>
        <v>778</v>
      </c>
      <c r="N7" s="18"/>
    </row>
    <row r="8" ht="20.05" customHeight="1">
      <c r="B8" s="32">
        <v>2016</v>
      </c>
      <c r="C8" s="17"/>
      <c r="D8" s="18"/>
      <c r="E8" s="18">
        <v>327</v>
      </c>
      <c r="F8" s="18">
        <v>-378</v>
      </c>
      <c r="G8" s="18"/>
      <c r="H8" s="18"/>
      <c r="I8" s="18">
        <v>6</v>
      </c>
      <c r="J8" s="16">
        <f>E8+F8</f>
        <v>-51</v>
      </c>
      <c r="K8" s="16">
        <f>AVERAGE(J5:J8)</f>
        <v>12</v>
      </c>
      <c r="L8" s="18"/>
      <c r="M8" s="18">
        <f>-I8+M7</f>
        <v>772</v>
      </c>
      <c r="N8" s="18"/>
    </row>
    <row r="9" ht="20.05" customHeight="1">
      <c r="B9" s="31"/>
      <c r="C9" s="17"/>
      <c r="D9" s="18"/>
      <c r="E9" s="18">
        <v>225</v>
      </c>
      <c r="F9" s="18">
        <v>-179</v>
      </c>
      <c r="G9" s="18"/>
      <c r="H9" s="18"/>
      <c r="I9" s="18">
        <v>100</v>
      </c>
      <c r="J9" s="16">
        <f>E9+F9</f>
        <v>46</v>
      </c>
      <c r="K9" s="16">
        <f>AVERAGE(J6:J9)</f>
        <v>12.25</v>
      </c>
      <c r="L9" s="18"/>
      <c r="M9" s="18">
        <f>-I9+M8</f>
        <v>672</v>
      </c>
      <c r="N9" s="18"/>
    </row>
    <row r="10" ht="20.05" customHeight="1">
      <c r="B10" s="31"/>
      <c r="C10" s="17"/>
      <c r="D10" s="18"/>
      <c r="E10" s="18">
        <v>271</v>
      </c>
      <c r="F10" s="18">
        <v>-27</v>
      </c>
      <c r="G10" s="18"/>
      <c r="H10" s="18"/>
      <c r="I10" s="18">
        <v>-278</v>
      </c>
      <c r="J10" s="16">
        <f>E10+F10</f>
        <v>244</v>
      </c>
      <c r="K10" s="16">
        <f>AVERAGE(J7:J10)</f>
        <v>41.75</v>
      </c>
      <c r="L10" s="18"/>
      <c r="M10" s="18">
        <f>-I10+M9</f>
        <v>950</v>
      </c>
      <c r="N10" s="18"/>
    </row>
    <row r="11" ht="20.05" customHeight="1">
      <c r="B11" s="31"/>
      <c r="C11" s="17"/>
      <c r="D11" s="18"/>
      <c r="E11" s="18">
        <v>332</v>
      </c>
      <c r="F11" s="18">
        <v>47</v>
      </c>
      <c r="G11" s="18"/>
      <c r="H11" s="18"/>
      <c r="I11" s="18">
        <v>-125</v>
      </c>
      <c r="J11" s="16">
        <f>E11+F11</f>
        <v>379</v>
      </c>
      <c r="K11" s="16">
        <f>AVERAGE(J8:J11)</f>
        <v>154.5</v>
      </c>
      <c r="L11" s="18"/>
      <c r="M11" s="18">
        <f>-I11+M10</f>
        <v>1075</v>
      </c>
      <c r="N11" s="18"/>
    </row>
    <row r="12" ht="20.05" customHeight="1">
      <c r="B12" s="32">
        <v>2017</v>
      </c>
      <c r="C12" s="17"/>
      <c r="D12" s="18"/>
      <c r="E12" s="18">
        <v>324</v>
      </c>
      <c r="F12" s="18">
        <v>6</v>
      </c>
      <c r="G12" s="18"/>
      <c r="H12" s="18"/>
      <c r="I12" s="18">
        <v>-23</v>
      </c>
      <c r="J12" s="16">
        <f>E12+F12</f>
        <v>330</v>
      </c>
      <c r="K12" s="16">
        <f>AVERAGE(J9:J12)</f>
        <v>249.75</v>
      </c>
      <c r="L12" s="18"/>
      <c r="M12" s="18">
        <f>-I12+M11</f>
        <v>1098</v>
      </c>
      <c r="N12" s="18"/>
    </row>
    <row r="13" ht="20.05" customHeight="1">
      <c r="B13" s="31"/>
      <c r="C13" s="17"/>
      <c r="D13" s="18"/>
      <c r="E13" s="18">
        <v>154</v>
      </c>
      <c r="F13" s="18">
        <v>21</v>
      </c>
      <c r="G13" s="18"/>
      <c r="H13" s="18"/>
      <c r="I13" s="18">
        <v>-483</v>
      </c>
      <c r="J13" s="16">
        <f>E13+F13</f>
        <v>175</v>
      </c>
      <c r="K13" s="16">
        <f>AVERAGE(J10:J13)</f>
        <v>282</v>
      </c>
      <c r="L13" s="18"/>
      <c r="M13" s="18">
        <f>-I13+M12</f>
        <v>1581</v>
      </c>
      <c r="N13" s="18"/>
    </row>
    <row r="14" ht="20.05" customHeight="1">
      <c r="B14" s="31"/>
      <c r="C14" s="17"/>
      <c r="D14" s="18"/>
      <c r="E14" s="18">
        <v>293</v>
      </c>
      <c r="F14" s="18">
        <v>15</v>
      </c>
      <c r="G14" s="18"/>
      <c r="H14" s="18"/>
      <c r="I14" s="18">
        <v>-399</v>
      </c>
      <c r="J14" s="16">
        <f>E14+F14</f>
        <v>308</v>
      </c>
      <c r="K14" s="16">
        <f>AVERAGE(J11:J14)</f>
        <v>298</v>
      </c>
      <c r="L14" s="18"/>
      <c r="M14" s="18">
        <f>-I14+M13</f>
        <v>1980</v>
      </c>
      <c r="N14" s="18"/>
    </row>
    <row r="15" ht="20.05" customHeight="1">
      <c r="B15" s="31"/>
      <c r="C15" s="17"/>
      <c r="D15" s="18"/>
      <c r="E15" s="18">
        <v>263</v>
      </c>
      <c r="F15" s="18">
        <v>40</v>
      </c>
      <c r="G15" s="18"/>
      <c r="H15" s="18"/>
      <c r="I15" s="18">
        <v>-328</v>
      </c>
      <c r="J15" s="16">
        <f>E15+F15</f>
        <v>303</v>
      </c>
      <c r="K15" s="16">
        <f>AVERAGE(J12:J15)</f>
        <v>279</v>
      </c>
      <c r="L15" s="18"/>
      <c r="M15" s="18">
        <f>-I15+M14</f>
        <v>2308</v>
      </c>
      <c r="N15" s="18"/>
    </row>
    <row r="16" ht="20.05" customHeight="1">
      <c r="B16" s="32">
        <v>2018</v>
      </c>
      <c r="C16" s="17"/>
      <c r="D16" s="18"/>
      <c r="E16" s="18">
        <v>265</v>
      </c>
      <c r="F16" s="18">
        <v>-105</v>
      </c>
      <c r="G16" s="18"/>
      <c r="H16" s="18"/>
      <c r="I16" s="18">
        <v>-19</v>
      </c>
      <c r="J16" s="16">
        <f>E16+F16</f>
        <v>160</v>
      </c>
      <c r="K16" s="16">
        <f>AVERAGE(J13:J16)</f>
        <v>236.5</v>
      </c>
      <c r="L16" s="18"/>
      <c r="M16" s="18">
        <f>-I16+M15</f>
        <v>2327</v>
      </c>
      <c r="N16" s="18"/>
    </row>
    <row r="17" ht="20.05" customHeight="1">
      <c r="B17" s="31"/>
      <c r="C17" s="17"/>
      <c r="D17" s="18"/>
      <c r="E17" s="18">
        <v>212</v>
      </c>
      <c r="F17" s="18">
        <v>-104</v>
      </c>
      <c r="G17" s="18"/>
      <c r="H17" s="18"/>
      <c r="I17" s="18">
        <v>-212</v>
      </c>
      <c r="J17" s="16">
        <f>E17+F17</f>
        <v>108</v>
      </c>
      <c r="K17" s="16">
        <f>AVERAGE(J14:J17)</f>
        <v>219.75</v>
      </c>
      <c r="L17" s="18"/>
      <c r="M17" s="18">
        <f>-I17+M16</f>
        <v>2539</v>
      </c>
      <c r="N17" s="18"/>
    </row>
    <row r="18" ht="20.05" customHeight="1">
      <c r="B18" s="31"/>
      <c r="C18" s="17"/>
      <c r="D18" s="18"/>
      <c r="E18" s="18">
        <v>262</v>
      </c>
      <c r="F18" s="18">
        <v>-160</v>
      </c>
      <c r="G18" s="18"/>
      <c r="H18" s="18"/>
      <c r="I18" s="18">
        <v>-9</v>
      </c>
      <c r="J18" s="16">
        <f>E18+F18</f>
        <v>102</v>
      </c>
      <c r="K18" s="16">
        <f>AVERAGE(J15:J18)</f>
        <v>168.25</v>
      </c>
      <c r="L18" s="18"/>
      <c r="M18" s="18">
        <f>-I18+M17</f>
        <v>2548</v>
      </c>
      <c r="N18" s="18"/>
    </row>
    <row r="19" ht="20.05" customHeight="1">
      <c r="B19" s="31"/>
      <c r="C19" s="17"/>
      <c r="D19" s="18"/>
      <c r="E19" s="18">
        <v>330</v>
      </c>
      <c r="F19" s="18">
        <v>-416</v>
      </c>
      <c r="G19" s="18"/>
      <c r="H19" s="18"/>
      <c r="I19" s="18">
        <v>58</v>
      </c>
      <c r="J19" s="16">
        <f>E19+F19</f>
        <v>-86</v>
      </c>
      <c r="K19" s="16">
        <f>AVERAGE(J16:J19)</f>
        <v>71</v>
      </c>
      <c r="L19" s="18"/>
      <c r="M19" s="18">
        <f>-I19+M18</f>
        <v>2490</v>
      </c>
      <c r="N19" s="18"/>
    </row>
    <row r="20" ht="20.05" customHeight="1">
      <c r="B20" s="32">
        <v>2019</v>
      </c>
      <c r="C20" s="17">
        <v>985.1</v>
      </c>
      <c r="D20" s="18"/>
      <c r="E20" s="18">
        <v>224</v>
      </c>
      <c r="F20" s="18">
        <v>-236</v>
      </c>
      <c r="G20" s="18"/>
      <c r="H20" s="18"/>
      <c r="I20" s="18">
        <v>39</v>
      </c>
      <c r="J20" s="16">
        <f>E20+F20</f>
        <v>-12</v>
      </c>
      <c r="K20" s="16">
        <f>AVERAGE(J17:J20)</f>
        <v>28</v>
      </c>
      <c r="L20" s="18"/>
      <c r="M20" s="18">
        <f>-I20+M19</f>
        <v>2451</v>
      </c>
      <c r="N20" s="18"/>
    </row>
    <row r="21" ht="20.05" customHeight="1">
      <c r="B21" s="31"/>
      <c r="C21" s="17">
        <f>1967-C20</f>
        <v>981.9</v>
      </c>
      <c r="D21" s="18"/>
      <c r="E21" s="18">
        <v>123</v>
      </c>
      <c r="F21" s="18">
        <v>-163</v>
      </c>
      <c r="G21" s="18"/>
      <c r="H21" s="18"/>
      <c r="I21" s="18">
        <v>-127</v>
      </c>
      <c r="J21" s="16">
        <f>E21+F21</f>
        <v>-40</v>
      </c>
      <c r="K21" s="16">
        <f>AVERAGE(J18:J21)</f>
        <v>-9</v>
      </c>
      <c r="L21" s="18"/>
      <c r="M21" s="18">
        <f>-I21+M20</f>
        <v>2578</v>
      </c>
      <c r="N21" s="18"/>
    </row>
    <row r="22" ht="20.05" customHeight="1">
      <c r="B22" s="31"/>
      <c r="C22" s="17">
        <f>3023.139-SUM(C20:C21)</f>
        <v>1056.139</v>
      </c>
      <c r="D22" s="18"/>
      <c r="E22" s="18">
        <v>158</v>
      </c>
      <c r="F22" s="18">
        <v>-163</v>
      </c>
      <c r="G22" s="18"/>
      <c r="H22" s="18"/>
      <c r="I22" s="18">
        <v>155</v>
      </c>
      <c r="J22" s="16">
        <f>E22+F22</f>
        <v>-5</v>
      </c>
      <c r="K22" s="16">
        <f>AVERAGE(J19:J22)</f>
        <v>-35.75</v>
      </c>
      <c r="L22" s="18"/>
      <c r="M22" s="18">
        <f>-I22+M21</f>
        <v>2423</v>
      </c>
      <c r="N22" s="18"/>
    </row>
    <row r="23" ht="20.05" customHeight="1">
      <c r="B23" s="31"/>
      <c r="C23" s="17">
        <f>4130.7-SUM(C20:C22)</f>
        <v>1107.561</v>
      </c>
      <c r="D23" s="18"/>
      <c r="E23" s="18">
        <v>234</v>
      </c>
      <c r="F23" s="18">
        <v>-487</v>
      </c>
      <c r="G23" s="18"/>
      <c r="H23" s="18"/>
      <c r="I23" s="18">
        <v>130</v>
      </c>
      <c r="J23" s="16">
        <f>E23+F23</f>
        <v>-253</v>
      </c>
      <c r="K23" s="16">
        <f>AVERAGE(J20:J23)</f>
        <v>-77.5</v>
      </c>
      <c r="L23" s="18"/>
      <c r="M23" s="18">
        <f>-I23+M22</f>
        <v>2293</v>
      </c>
      <c r="N23" s="18"/>
    </row>
    <row r="24" ht="20.05" customHeight="1">
      <c r="B24" s="32">
        <v>2020</v>
      </c>
      <c r="C24" s="17">
        <v>917.7</v>
      </c>
      <c r="D24" s="18">
        <v>0</v>
      </c>
      <c r="E24" s="18">
        <v>144.857</v>
      </c>
      <c r="F24" s="18">
        <v>-222.562</v>
      </c>
      <c r="G24" s="18">
        <f>I24-H24-D24</f>
        <v>172</v>
      </c>
      <c r="H24" s="18">
        <v>0</v>
      </c>
      <c r="I24" s="18">
        <v>172</v>
      </c>
      <c r="J24" s="16">
        <f>E24+F24</f>
        <v>-77.705</v>
      </c>
      <c r="K24" s="16">
        <f>AVERAGE(J21:J24)</f>
        <v>-93.92625</v>
      </c>
      <c r="L24" s="18"/>
      <c r="M24" s="18">
        <f>-I24+M23</f>
        <v>2121</v>
      </c>
      <c r="N24" s="18"/>
    </row>
    <row r="25" ht="20.05" customHeight="1">
      <c r="B25" s="31"/>
      <c r="C25" s="17">
        <f>1278.5-C24</f>
        <v>360.8</v>
      </c>
      <c r="D25" s="18">
        <v>0</v>
      </c>
      <c r="E25" s="18">
        <v>43.143</v>
      </c>
      <c r="F25" s="18">
        <v>97.562</v>
      </c>
      <c r="G25" s="18">
        <f>I25-H25-D25</f>
        <v>-45</v>
      </c>
      <c r="H25" s="18">
        <v>0</v>
      </c>
      <c r="I25" s="18">
        <v>-45</v>
      </c>
      <c r="J25" s="16">
        <f>E25+F25</f>
        <v>140.705</v>
      </c>
      <c r="K25" s="16">
        <f>AVERAGE(J22:J25)</f>
        <v>-48.75</v>
      </c>
      <c r="L25" s="18"/>
      <c r="M25" s="18">
        <f>-I25+M24</f>
        <v>2166</v>
      </c>
      <c r="N25" s="18"/>
    </row>
    <row r="26" ht="20.05" customHeight="1">
      <c r="B26" s="31"/>
      <c r="C26" s="17">
        <f>1691.954-SUM(C24:C25)</f>
        <v>413.454</v>
      </c>
      <c r="D26" s="18">
        <v>0</v>
      </c>
      <c r="E26" s="18">
        <f>224.59-SUM(E24:E25)</f>
        <v>36.59</v>
      </c>
      <c r="F26" s="18">
        <f>-116.414-SUM(F24:F25)</f>
        <v>8.586</v>
      </c>
      <c r="G26" s="18">
        <f>I26-H26-D26</f>
        <v>32.818</v>
      </c>
      <c r="H26" s="18">
        <v>0</v>
      </c>
      <c r="I26" s="18">
        <f>159.818-SUM(I24:I25)</f>
        <v>32.818</v>
      </c>
      <c r="J26" s="16">
        <f>E26+F26</f>
        <v>45.176</v>
      </c>
      <c r="K26" s="16">
        <f>AVERAGE(J23:J26)</f>
        <v>-36.206</v>
      </c>
      <c r="L26" s="18"/>
      <c r="M26" s="18">
        <f>-I26+M25</f>
        <v>2133.182</v>
      </c>
      <c r="N26" s="18"/>
    </row>
    <row r="27" ht="20.05" customHeight="1">
      <c r="B27" s="31"/>
      <c r="C27" s="17">
        <f>2195.8-SUM(C24:C26)</f>
        <v>503.846</v>
      </c>
      <c r="D27" s="18">
        <f>-2.9-SUM(D24:D26)</f>
        <v>-2.9</v>
      </c>
      <c r="E27" s="18">
        <f>230.3-SUM(E24:E26)</f>
        <v>5.71</v>
      </c>
      <c r="F27" s="18">
        <f>-51.4-SUM(F24:F26)</f>
        <v>65.014</v>
      </c>
      <c r="G27" s="18">
        <f>I27-H27-D27</f>
        <v>-0.018</v>
      </c>
      <c r="H27" s="18">
        <v>0</v>
      </c>
      <c r="I27" s="18">
        <f>156.9-SUM(I24:I26)</f>
        <v>-2.918</v>
      </c>
      <c r="J27" s="16">
        <f>E27+F27</f>
        <v>70.724</v>
      </c>
      <c r="K27" s="16">
        <f>AVERAGE(J24:J27)</f>
        <v>44.725</v>
      </c>
      <c r="L27" s="18"/>
      <c r="M27" s="18">
        <f>-I27+M26</f>
        <v>2136.1</v>
      </c>
      <c r="N27" s="18"/>
    </row>
    <row r="28" ht="20.05" customHeight="1">
      <c r="B28" s="32">
        <v>2021</v>
      </c>
      <c r="C28" s="17">
        <v>471.2</v>
      </c>
      <c r="D28" s="18">
        <v>-0.7</v>
      </c>
      <c r="E28" s="18">
        <v>59.9</v>
      </c>
      <c r="F28" s="18">
        <v>70</v>
      </c>
      <c r="G28" s="18">
        <f>I28-H28-D28</f>
        <v>0</v>
      </c>
      <c r="H28" s="18">
        <v>0</v>
      </c>
      <c r="I28" s="18">
        <f>-0.7</f>
        <v>-0.7</v>
      </c>
      <c r="J28" s="16">
        <f>E28+F28</f>
        <v>129.9</v>
      </c>
      <c r="K28" s="16">
        <f>AVERAGE(J25:J28)</f>
        <v>96.62625</v>
      </c>
      <c r="L28" s="18"/>
      <c r="M28" s="18">
        <f>-I28+M27</f>
        <v>2136.8</v>
      </c>
      <c r="N28" s="18"/>
    </row>
    <row r="29" ht="20.05" customHeight="1">
      <c r="B29" s="31"/>
      <c r="C29" s="17">
        <f>1047.3-C28</f>
        <v>576.1</v>
      </c>
      <c r="D29" s="18">
        <f>-2.2-D28</f>
        <v>-1.5</v>
      </c>
      <c r="E29" s="18">
        <f>101.4-E28</f>
        <v>41.5</v>
      </c>
      <c r="F29" s="18">
        <f>127.5-F28</f>
        <v>57.5</v>
      </c>
      <c r="G29" s="18">
        <f>I29-H29-D29</f>
        <v>-190.1</v>
      </c>
      <c r="H29" s="18">
        <v>0</v>
      </c>
      <c r="I29" s="18">
        <f>-192.3-I28</f>
        <v>-191.6</v>
      </c>
      <c r="J29" s="16">
        <f>E29+F29</f>
        <v>99</v>
      </c>
      <c r="K29" s="16">
        <f>AVERAGE(J26:J29)</f>
        <v>86.2</v>
      </c>
      <c r="L29" s="18"/>
      <c r="M29" s="18">
        <f>-I29+M28</f>
        <v>2328.4</v>
      </c>
      <c r="N29" s="18"/>
    </row>
    <row r="30" ht="20.05" customHeight="1">
      <c r="B30" s="31"/>
      <c r="C30" s="17">
        <f>1445-SUM(C28:C29)</f>
        <v>397.7</v>
      </c>
      <c r="D30" s="18">
        <f>-2.6-SUM(D28:D29)</f>
        <v>-0.4</v>
      </c>
      <c r="E30" s="18">
        <f>127.1-SUM(E28:E29)</f>
        <v>25.7</v>
      </c>
      <c r="F30" s="18">
        <f>208.1-SUM(F28:F29)</f>
        <v>80.59999999999999</v>
      </c>
      <c r="G30" s="18">
        <f>I30-H30-D30</f>
        <v>-110.8</v>
      </c>
      <c r="H30" s="18">
        <f>-90.1-0.5-SUM(H28:H29)</f>
        <v>-90.59999999999999</v>
      </c>
      <c r="I30" s="18">
        <f>-394.1-SUM(I28:I29)</f>
        <v>-201.8</v>
      </c>
      <c r="J30" s="16">
        <f>E30+F30</f>
        <v>106.3</v>
      </c>
      <c r="K30" s="16">
        <f>AVERAGE(J27:J30)</f>
        <v>101.481</v>
      </c>
      <c r="L30" s="18"/>
      <c r="M30" s="18">
        <f>-I30+M29</f>
        <v>2530.2</v>
      </c>
      <c r="N30" s="18"/>
    </row>
    <row r="31" ht="20.05" customHeight="1">
      <c r="B31" s="31"/>
      <c r="C31" s="17">
        <f>2214.7-SUM(C28:C30)</f>
        <v>769.7</v>
      </c>
      <c r="D31" s="18">
        <f>-1.5-SUM(D28:D30)</f>
        <v>1.1</v>
      </c>
      <c r="E31" s="18">
        <f>304.5-SUM(E28:E30)</f>
        <v>177.4</v>
      </c>
      <c r="F31" s="18">
        <f>345-SUM(F28:F30)</f>
        <v>136.9</v>
      </c>
      <c r="G31" s="18">
        <f>I31-H31-D31</f>
        <v>-109.7</v>
      </c>
      <c r="H31" s="18">
        <f>-90.1-0.5-SUM(H28:H30)</f>
        <v>0</v>
      </c>
      <c r="I31" s="18">
        <f>-502.7-SUM(I28:I30)</f>
        <v>-108.6</v>
      </c>
      <c r="J31" s="16">
        <f>E31+F31</f>
        <v>314.3</v>
      </c>
      <c r="K31" s="16">
        <f>AVERAGE(J28:J31)</f>
        <v>162.375</v>
      </c>
      <c r="L31" s="18">
        <f>K31</f>
        <v>162.375</v>
      </c>
      <c r="M31" s="18">
        <f>-I31+M30</f>
        <v>2638.8</v>
      </c>
      <c r="N31" s="18">
        <f>M31</f>
        <v>2638.8</v>
      </c>
    </row>
    <row r="32" ht="20.05" customHeight="1">
      <c r="B32" s="32">
        <v>2022</v>
      </c>
      <c r="C32" s="17"/>
      <c r="D32" s="18"/>
      <c r="E32" s="18"/>
      <c r="F32" s="18"/>
      <c r="G32" s="18"/>
      <c r="H32" s="18"/>
      <c r="I32" s="18"/>
      <c r="J32" s="16"/>
      <c r="K32" s="22"/>
      <c r="L32" s="16">
        <f>SUM('Model'!F9:F10)</f>
        <v>260.543976</v>
      </c>
      <c r="M32" s="22"/>
      <c r="N32" s="18">
        <f>'Model'!F32</f>
        <v>3052.8885663</v>
      </c>
    </row>
  </sheetData>
  <mergeCells count="1">
    <mergeCell ref="B2:N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1562" style="36" customWidth="1"/>
    <col min="2" max="2" width="9.03125" style="36" customWidth="1"/>
    <col min="3" max="11" width="9.92188" style="36" customWidth="1"/>
    <col min="12" max="16384" width="16.3516" style="36" customWidth="1"/>
  </cols>
  <sheetData>
    <row r="1" ht="35.7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51</v>
      </c>
      <c r="D3" t="s" s="5">
        <v>52</v>
      </c>
      <c r="E3" t="s" s="5">
        <v>53</v>
      </c>
      <c r="F3" t="s" s="5">
        <v>23</v>
      </c>
      <c r="G3" t="s" s="5">
        <v>11</v>
      </c>
      <c r="H3" t="s" s="5">
        <v>25</v>
      </c>
      <c r="I3" t="s" s="5">
        <v>54</v>
      </c>
      <c r="J3" t="s" s="5">
        <v>55</v>
      </c>
      <c r="K3" t="s" s="5">
        <v>34</v>
      </c>
    </row>
    <row r="4" ht="20.25" customHeight="1">
      <c r="B4" s="26">
        <v>2016</v>
      </c>
      <c r="C4" s="27">
        <v>226</v>
      </c>
      <c r="D4" s="29">
        <v>7370</v>
      </c>
      <c r="E4" s="29">
        <f>D4-C4</f>
        <v>7144</v>
      </c>
      <c r="F4" s="29">
        <v>2445</v>
      </c>
      <c r="G4" s="29">
        <v>2903</v>
      </c>
      <c r="H4" s="29">
        <v>4467</v>
      </c>
      <c r="I4" s="29">
        <f>G4+H4-C4-E4</f>
        <v>0</v>
      </c>
      <c r="J4" s="29">
        <f>C4-G4</f>
        <v>-2677</v>
      </c>
      <c r="K4" s="29"/>
    </row>
    <row r="5" ht="20.05" customHeight="1">
      <c r="B5" s="31"/>
      <c r="C5" s="17">
        <v>372</v>
      </c>
      <c r="D5" s="18">
        <v>7490</v>
      </c>
      <c r="E5" s="18">
        <f>D5-C5</f>
        <v>7118</v>
      </c>
      <c r="F5" s="18">
        <v>2506</v>
      </c>
      <c r="G5" s="18">
        <v>3098</v>
      </c>
      <c r="H5" s="18">
        <v>4392</v>
      </c>
      <c r="I5" s="18">
        <f>G5+H5-C5-E5</f>
        <v>0</v>
      </c>
      <c r="J5" s="18">
        <f>C5-G5</f>
        <v>-2726</v>
      </c>
      <c r="K5" s="18"/>
    </row>
    <row r="6" ht="20.05" customHeight="1">
      <c r="B6" s="31"/>
      <c r="C6" s="17">
        <v>338</v>
      </c>
      <c r="D6" s="18">
        <v>7288</v>
      </c>
      <c r="E6" s="18">
        <f>D6-C6</f>
        <v>6950</v>
      </c>
      <c r="F6" s="18">
        <v>2579</v>
      </c>
      <c r="G6" s="18">
        <v>2763</v>
      </c>
      <c r="H6" s="18">
        <v>4525</v>
      </c>
      <c r="I6" s="18">
        <f>G6+H6-C6-E6</f>
        <v>0</v>
      </c>
      <c r="J6" s="18">
        <f>C6-G6</f>
        <v>-2425</v>
      </c>
      <c r="K6" s="18"/>
    </row>
    <row r="7" ht="20.05" customHeight="1">
      <c r="B7" s="31"/>
      <c r="C7" s="17">
        <v>592</v>
      </c>
      <c r="D7" s="18">
        <v>7301</v>
      </c>
      <c r="E7" s="18">
        <f>D7-C7</f>
        <v>6709</v>
      </c>
      <c r="F7" s="18">
        <v>2411</v>
      </c>
      <c r="G7" s="18">
        <v>2638</v>
      </c>
      <c r="H7" s="18">
        <v>4663</v>
      </c>
      <c r="I7" s="18">
        <f>G7+H7-C7-E7</f>
        <v>0</v>
      </c>
      <c r="J7" s="18">
        <f>C7-G7</f>
        <v>-2046</v>
      </c>
      <c r="K7" s="18"/>
    </row>
    <row r="8" ht="20.05" customHeight="1">
      <c r="B8" s="32">
        <v>2017</v>
      </c>
      <c r="C8" s="17">
        <v>683</v>
      </c>
      <c r="D8" s="18">
        <v>7234</v>
      </c>
      <c r="E8" s="18">
        <f>D8-C8</f>
        <v>6551</v>
      </c>
      <c r="F8" s="18">
        <v>2700</v>
      </c>
      <c r="G8" s="18">
        <v>2453</v>
      </c>
      <c r="H8" s="18">
        <v>4781</v>
      </c>
      <c r="I8" s="18">
        <f>G8+H8-C8-E8</f>
        <v>0</v>
      </c>
      <c r="J8" s="18">
        <f>C8-G8</f>
        <v>-1770</v>
      </c>
      <c r="K8" s="18"/>
    </row>
    <row r="9" ht="20.05" customHeight="1">
      <c r="B9" s="31"/>
      <c r="C9" s="17">
        <v>592</v>
      </c>
      <c r="D9" s="18">
        <v>7003</v>
      </c>
      <c r="E9" s="18">
        <f>D9-C9</f>
        <v>6411</v>
      </c>
      <c r="F9" s="18">
        <v>2779</v>
      </c>
      <c r="G9" s="18">
        <v>2300</v>
      </c>
      <c r="H9" s="18">
        <v>4703</v>
      </c>
      <c r="I9" s="18">
        <f>G9+H9-C9-E9</f>
        <v>0</v>
      </c>
      <c r="J9" s="18">
        <f>C9-G9</f>
        <v>-1708</v>
      </c>
      <c r="K9" s="18"/>
    </row>
    <row r="10" ht="20.05" customHeight="1">
      <c r="B10" s="31"/>
      <c r="C10" s="17">
        <v>500</v>
      </c>
      <c r="D10" s="18">
        <v>6746</v>
      </c>
      <c r="E10" s="18">
        <f>D10-C10</f>
        <v>6246</v>
      </c>
      <c r="F10" s="18">
        <v>2785</v>
      </c>
      <c r="G10" s="18">
        <v>1933</v>
      </c>
      <c r="H10" s="18">
        <v>4813</v>
      </c>
      <c r="I10" s="18">
        <f>G10+H10-C10-E10</f>
        <v>0</v>
      </c>
      <c r="J10" s="18">
        <f>C10-G10</f>
        <v>-1433</v>
      </c>
      <c r="K10" s="18"/>
    </row>
    <row r="11" ht="20.05" customHeight="1">
      <c r="B11" s="31"/>
      <c r="C11" s="17">
        <v>474</v>
      </c>
      <c r="D11" s="18">
        <v>6516</v>
      </c>
      <c r="E11" s="18">
        <f>D11-C11</f>
        <v>6042</v>
      </c>
      <c r="F11" s="18">
        <v>2816</v>
      </c>
      <c r="G11" s="18">
        <v>1585</v>
      </c>
      <c r="H11" s="18">
        <v>4931</v>
      </c>
      <c r="I11" s="18">
        <f>G11+H11-C11-E11</f>
        <v>0</v>
      </c>
      <c r="J11" s="18">
        <f>C11-G11</f>
        <v>-1111</v>
      </c>
      <c r="K11" s="18"/>
    </row>
    <row r="12" ht="20.05" customHeight="1">
      <c r="B12" s="32">
        <v>2018</v>
      </c>
      <c r="C12" s="17">
        <v>616</v>
      </c>
      <c r="D12" s="18">
        <v>6638</v>
      </c>
      <c r="E12" s="18">
        <f>D12-C12</f>
        <v>6022</v>
      </c>
      <c r="F12" s="18">
        <v>2865</v>
      </c>
      <c r="G12" s="18">
        <v>1608</v>
      </c>
      <c r="H12" s="18">
        <v>5030</v>
      </c>
      <c r="I12" s="18">
        <f>G12+H12-C12-E12</f>
        <v>0</v>
      </c>
      <c r="J12" s="18">
        <f>C12-G12</f>
        <v>-992</v>
      </c>
      <c r="K12" s="18"/>
    </row>
    <row r="13" ht="20.05" customHeight="1">
      <c r="B13" s="31"/>
      <c r="C13" s="17">
        <v>512</v>
      </c>
      <c r="D13" s="18">
        <v>6559</v>
      </c>
      <c r="E13" s="18">
        <f>D13-C13</f>
        <v>6047</v>
      </c>
      <c r="F13" s="18">
        <v>2922</v>
      </c>
      <c r="G13" s="18">
        <v>1565</v>
      </c>
      <c r="H13" s="18">
        <v>4994</v>
      </c>
      <c r="I13" s="18">
        <f>G13+H13-C13-E13</f>
        <v>0</v>
      </c>
      <c r="J13" s="18">
        <f>C13-G13</f>
        <v>-1053</v>
      </c>
      <c r="K13" s="18"/>
    </row>
    <row r="14" ht="20.05" customHeight="1">
      <c r="B14" s="31"/>
      <c r="C14" s="17">
        <v>605</v>
      </c>
      <c r="D14" s="18">
        <v>6776</v>
      </c>
      <c r="E14" s="18">
        <f>D14-C14</f>
        <v>6171</v>
      </c>
      <c r="F14" s="18">
        <v>2973</v>
      </c>
      <c r="G14" s="18">
        <v>1637</v>
      </c>
      <c r="H14" s="18">
        <v>5139</v>
      </c>
      <c r="I14" s="18">
        <f>G14+H14-C14-E14</f>
        <v>0</v>
      </c>
      <c r="J14" s="18">
        <f>C14-G14</f>
        <v>-1032</v>
      </c>
      <c r="K14" s="18"/>
    </row>
    <row r="15" ht="20.05" customHeight="1">
      <c r="B15" s="31"/>
      <c r="C15" s="17">
        <v>576</v>
      </c>
      <c r="D15" s="18">
        <v>6955</v>
      </c>
      <c r="E15" s="18">
        <f>D15-C15</f>
        <v>6379</v>
      </c>
      <c r="F15" s="18">
        <v>2821</v>
      </c>
      <c r="G15" s="18">
        <v>1690</v>
      </c>
      <c r="H15" s="18">
        <v>5265</v>
      </c>
      <c r="I15" s="18">
        <f>G15+H15-C15-E15</f>
        <v>0</v>
      </c>
      <c r="J15" s="18">
        <f>C15-G15</f>
        <v>-1114</v>
      </c>
      <c r="K15" s="18"/>
    </row>
    <row r="16" ht="20.05" customHeight="1">
      <c r="B16" s="32">
        <v>2019</v>
      </c>
      <c r="C16" s="17">
        <v>603</v>
      </c>
      <c r="D16" s="18">
        <v>7236</v>
      </c>
      <c r="E16" s="18">
        <f>D16-C16</f>
        <v>6633</v>
      </c>
      <c r="F16" s="18">
        <v>2843</v>
      </c>
      <c r="G16" s="18">
        <v>1870</v>
      </c>
      <c r="H16" s="18">
        <v>5366</v>
      </c>
      <c r="I16" s="18">
        <f>G16+H16-C16-E16</f>
        <v>0</v>
      </c>
      <c r="J16" s="18">
        <f>C16-G16</f>
        <v>-1267</v>
      </c>
      <c r="K16" s="18"/>
    </row>
    <row r="17" ht="20.05" customHeight="1">
      <c r="B17" s="31"/>
      <c r="C17" s="17">
        <v>436</v>
      </c>
      <c r="D17" s="18">
        <v>7086</v>
      </c>
      <c r="E17" s="18">
        <f>D17-C17</f>
        <v>6650</v>
      </c>
      <c r="F17" s="18">
        <v>2851</v>
      </c>
      <c r="G17" s="18">
        <v>1825</v>
      </c>
      <c r="H17" s="18">
        <v>5261</v>
      </c>
      <c r="I17" s="18">
        <f>G17+H17-C17-E17</f>
        <v>0</v>
      </c>
      <c r="J17" s="18">
        <f>C17-G17</f>
        <v>-1389</v>
      </c>
      <c r="K17" s="18"/>
    </row>
    <row r="18" ht="20.05" customHeight="1">
      <c r="B18" s="31"/>
      <c r="C18" s="17">
        <v>586</v>
      </c>
      <c r="D18" s="18">
        <v>7418</v>
      </c>
      <c r="E18" s="18">
        <f>D18-C18</f>
        <v>6832</v>
      </c>
      <c r="F18" s="18">
        <v>2797</v>
      </c>
      <c r="G18" s="18">
        <v>2086</v>
      </c>
      <c r="H18" s="18">
        <v>5332</v>
      </c>
      <c r="I18" s="18">
        <f>G18+H18-C18-E18</f>
        <v>0</v>
      </c>
      <c r="J18" s="18">
        <f>C18-G18</f>
        <v>-1500</v>
      </c>
      <c r="K18" s="18"/>
    </row>
    <row r="19" ht="20.05" customHeight="1">
      <c r="B19" s="31"/>
      <c r="C19" s="17">
        <v>462.9</v>
      </c>
      <c r="D19" s="18">
        <v>7424.2</v>
      </c>
      <c r="E19" s="18">
        <f>D19-C19</f>
        <v>6961.3</v>
      </c>
      <c r="F19" s="18">
        <v>2772.5</v>
      </c>
      <c r="G19" s="18">
        <v>2016.1</v>
      </c>
      <c r="H19" s="18">
        <v>5408</v>
      </c>
      <c r="I19" s="18">
        <f>G19+H19-C19-E19</f>
        <v>-0.1</v>
      </c>
      <c r="J19" s="18">
        <f>C19-G19</f>
        <v>-1553.2</v>
      </c>
      <c r="K19" s="18"/>
    </row>
    <row r="20" ht="20.05" customHeight="1">
      <c r="B20" s="32">
        <v>2020</v>
      </c>
      <c r="C20" s="17">
        <v>557</v>
      </c>
      <c r="D20" s="18">
        <v>7703</v>
      </c>
      <c r="E20" s="18">
        <f>D20-C20</f>
        <v>7146</v>
      </c>
      <c r="F20" s="18">
        <v>2681</v>
      </c>
      <c r="G20" s="18">
        <v>2281</v>
      </c>
      <c r="H20" s="18">
        <v>5422</v>
      </c>
      <c r="I20" s="18">
        <f>G20+H20-C20-E20</f>
        <v>0</v>
      </c>
      <c r="J20" s="18">
        <f>C20-G20</f>
        <v>-1724</v>
      </c>
      <c r="K20" s="18"/>
    </row>
    <row r="21" ht="20.05" customHeight="1">
      <c r="B21" s="31"/>
      <c r="C21" s="17">
        <v>653</v>
      </c>
      <c r="D21" s="18">
        <v>7630</v>
      </c>
      <c r="E21" s="18">
        <f>D21-C21</f>
        <v>6977</v>
      </c>
      <c r="F21" s="18">
        <v>2627</v>
      </c>
      <c r="G21" s="18">
        <v>2317</v>
      </c>
      <c r="H21" s="18">
        <v>5313</v>
      </c>
      <c r="I21" s="18">
        <f>G21+H21-C21-E21</f>
        <v>0</v>
      </c>
      <c r="J21" s="18">
        <f>C21-G21</f>
        <v>-1664</v>
      </c>
      <c r="K21" s="18"/>
    </row>
    <row r="22" ht="20.05" customHeight="1">
      <c r="B22" s="31"/>
      <c r="C22" s="17">
        <v>731</v>
      </c>
      <c r="D22" s="18">
        <v>7450</v>
      </c>
      <c r="E22" s="18">
        <f>D22-C22</f>
        <v>6719</v>
      </c>
      <c r="F22" s="18">
        <v>2516</v>
      </c>
      <c r="G22" s="18">
        <v>2200</v>
      </c>
      <c r="H22" s="18">
        <v>5250</v>
      </c>
      <c r="I22" s="18">
        <f>G22+H22-C22-E22</f>
        <v>0</v>
      </c>
      <c r="J22" s="18">
        <f>C22-G22</f>
        <v>-1469</v>
      </c>
      <c r="K22" s="18"/>
    </row>
    <row r="23" ht="20.05" customHeight="1">
      <c r="B23" s="31"/>
      <c r="C23" s="17">
        <v>799</v>
      </c>
      <c r="D23" s="18">
        <v>7253</v>
      </c>
      <c r="E23" s="18">
        <f>D23-C23</f>
        <v>6454</v>
      </c>
      <c r="F23" s="18">
        <v>2460</v>
      </c>
      <c r="G23" s="18">
        <v>2018</v>
      </c>
      <c r="H23" s="18">
        <v>5235</v>
      </c>
      <c r="I23" s="18">
        <f>G23+H23-C23-E23</f>
        <v>0</v>
      </c>
      <c r="J23" s="18">
        <f>C23-G23</f>
        <v>-1219</v>
      </c>
      <c r="K23" s="18"/>
    </row>
    <row r="24" ht="20.05" customHeight="1">
      <c r="B24" s="32">
        <v>2021</v>
      </c>
      <c r="C24" s="17">
        <v>928</v>
      </c>
      <c r="D24" s="18">
        <v>7156</v>
      </c>
      <c r="E24" s="18">
        <f>D24-C24</f>
        <v>6228</v>
      </c>
      <c r="F24" s="18">
        <v>2357</v>
      </c>
      <c r="G24" s="18">
        <v>1949</v>
      </c>
      <c r="H24" s="18">
        <v>5207</v>
      </c>
      <c r="I24" s="18">
        <f>G24+H24-C24-E24</f>
        <v>0</v>
      </c>
      <c r="J24" s="18">
        <f>C24-G24</f>
        <v>-1021</v>
      </c>
      <c r="K24" s="18"/>
    </row>
    <row r="25" ht="20.05" customHeight="1">
      <c r="B25" s="31"/>
      <c r="C25" s="17">
        <v>835</v>
      </c>
      <c r="D25" s="18">
        <v>6874</v>
      </c>
      <c r="E25" s="18">
        <f>D25-C25</f>
        <v>6039</v>
      </c>
      <c r="F25" s="18">
        <f>2310</f>
        <v>2310</v>
      </c>
      <c r="G25" s="18">
        <v>1668</v>
      </c>
      <c r="H25" s="18">
        <v>5206</v>
      </c>
      <c r="I25" s="18">
        <f>G25+H25-C25-E25</f>
        <v>0</v>
      </c>
      <c r="J25" s="18">
        <f>C25-G25</f>
        <v>-833</v>
      </c>
      <c r="K25" s="18"/>
    </row>
    <row r="26" ht="20.05" customHeight="1">
      <c r="B26" s="31"/>
      <c r="C26" s="17">
        <v>740</v>
      </c>
      <c r="D26" s="18">
        <v>6624</v>
      </c>
      <c r="E26" s="18">
        <f>D26-C26</f>
        <v>5884</v>
      </c>
      <c r="F26" s="18">
        <f>2264</f>
        <v>2264</v>
      </c>
      <c r="G26" s="18">
        <v>1545</v>
      </c>
      <c r="H26" s="18">
        <v>5079</v>
      </c>
      <c r="I26" s="18">
        <f>G26+H26-C26-E26</f>
        <v>0</v>
      </c>
      <c r="J26" s="18">
        <f>C26-G26</f>
        <v>-805</v>
      </c>
      <c r="K26" s="18">
        <f>J26</f>
        <v>-805</v>
      </c>
    </row>
    <row r="27" ht="20.05" customHeight="1">
      <c r="B27" s="31"/>
      <c r="C27" s="17">
        <v>946</v>
      </c>
      <c r="D27" s="18">
        <v>6598</v>
      </c>
      <c r="E27" s="18">
        <f>D27-C27</f>
        <v>5652</v>
      </c>
      <c r="F27" s="18">
        <v>2241</v>
      </c>
      <c r="G27" s="18">
        <v>1450</v>
      </c>
      <c r="H27" s="18">
        <v>5148</v>
      </c>
      <c r="I27" s="18">
        <f>G27+H27-C27-E27</f>
        <v>0</v>
      </c>
      <c r="J27" s="18">
        <f>C27-G27</f>
        <v>-504</v>
      </c>
      <c r="K27" s="18">
        <f>J27</f>
        <v>-504</v>
      </c>
    </row>
    <row r="28" ht="20.05" customHeight="1">
      <c r="B28" s="32">
        <v>2022</v>
      </c>
      <c r="C28" s="17"/>
      <c r="D28" s="18"/>
      <c r="E28" s="18"/>
      <c r="F28" s="18"/>
      <c r="G28" s="18"/>
      <c r="H28" s="18"/>
      <c r="I28" s="18"/>
      <c r="J28" s="18"/>
      <c r="K28" s="18">
        <f>'Model'!F30</f>
        <v>282.5194672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2.6719" style="37" customWidth="1"/>
    <col min="2" max="5" width="11.0547" style="37" customWidth="1"/>
    <col min="6" max="16384" width="16.3516" style="37" customWidth="1"/>
  </cols>
  <sheetData>
    <row r="1" ht="40" customHeight="1"/>
    <row r="2" ht="27.65" customHeight="1">
      <c r="B2" t="s" s="2">
        <v>56</v>
      </c>
      <c r="C2" s="2"/>
      <c r="D2" s="2"/>
      <c r="E2" s="2"/>
    </row>
    <row r="3" ht="20.25" customHeight="1">
      <c r="B3" s="4"/>
      <c r="C3" t="s" s="38">
        <v>57</v>
      </c>
      <c r="D3" t="s" s="38">
        <v>37</v>
      </c>
      <c r="E3" s="4"/>
    </row>
    <row r="4" ht="20.25" customHeight="1">
      <c r="B4" s="26">
        <v>2015</v>
      </c>
      <c r="C4" s="27">
        <v>9950</v>
      </c>
      <c r="D4" s="29"/>
      <c r="E4" s="29"/>
    </row>
    <row r="5" ht="20.05" customHeight="1">
      <c r="B5" s="31"/>
      <c r="C5" s="17">
        <v>7950</v>
      </c>
      <c r="D5" s="18"/>
      <c r="E5" s="18"/>
    </row>
    <row r="6" ht="20.05" customHeight="1">
      <c r="B6" s="31"/>
      <c r="C6" s="17">
        <v>6600</v>
      </c>
      <c r="D6" s="18"/>
      <c r="E6" s="18"/>
    </row>
    <row r="7" ht="20.05" customHeight="1">
      <c r="B7" s="31"/>
      <c r="C7" s="17">
        <v>7100</v>
      </c>
      <c r="D7" s="18"/>
      <c r="E7" s="18"/>
    </row>
    <row r="8" ht="20.05" customHeight="1">
      <c r="B8" s="32">
        <v>2016</v>
      </c>
      <c r="C8" s="17">
        <v>5775</v>
      </c>
      <c r="D8" s="18"/>
      <c r="E8" s="18"/>
    </row>
    <row r="9" ht="20.05" customHeight="1">
      <c r="B9" s="31"/>
      <c r="C9" s="17">
        <v>4060</v>
      </c>
      <c r="D9" s="18"/>
      <c r="E9" s="18"/>
    </row>
    <row r="10" ht="20.05" customHeight="1">
      <c r="B10" s="31"/>
      <c r="C10" s="17">
        <v>2950</v>
      </c>
      <c r="D10" s="18"/>
      <c r="E10" s="18"/>
    </row>
    <row r="11" ht="20.05" customHeight="1">
      <c r="B11" s="31"/>
      <c r="C11" s="17">
        <v>3000</v>
      </c>
      <c r="D11" s="18"/>
      <c r="E11" s="18"/>
    </row>
    <row r="12" ht="20.05" customHeight="1">
      <c r="B12" s="32">
        <v>2017</v>
      </c>
      <c r="C12" s="17">
        <v>3860</v>
      </c>
      <c r="D12" s="18"/>
      <c r="E12" s="18"/>
    </row>
    <row r="13" ht="20.05" customHeight="1">
      <c r="B13" s="31"/>
      <c r="C13" s="17">
        <v>4810</v>
      </c>
      <c r="D13" s="18"/>
      <c r="E13" s="18"/>
    </row>
    <row r="14" ht="20.05" customHeight="1">
      <c r="B14" s="31"/>
      <c r="C14" s="17">
        <v>4880</v>
      </c>
      <c r="D14" s="18"/>
      <c r="E14" s="18"/>
    </row>
    <row r="15" ht="20.05" customHeight="1">
      <c r="B15" s="31"/>
      <c r="C15" s="17">
        <v>3460</v>
      </c>
      <c r="D15" s="18"/>
      <c r="E15" s="18"/>
    </row>
    <row r="16" ht="20.05" customHeight="1">
      <c r="B16" s="32">
        <v>2018</v>
      </c>
      <c r="C16" s="17">
        <v>2880</v>
      </c>
      <c r="D16" s="18"/>
      <c r="E16" s="18"/>
    </row>
    <row r="17" ht="20.05" customHeight="1">
      <c r="B17" s="31"/>
      <c r="C17" s="17">
        <v>2830</v>
      </c>
      <c r="D17" s="18"/>
      <c r="E17" s="18"/>
    </row>
    <row r="18" ht="20.05" customHeight="1">
      <c r="B18" s="31"/>
      <c r="C18" s="17">
        <v>3100</v>
      </c>
      <c r="D18" s="18"/>
      <c r="E18" s="18"/>
    </row>
    <row r="19" ht="20.05" customHeight="1">
      <c r="B19" s="31"/>
      <c r="C19" s="17">
        <v>2870</v>
      </c>
      <c r="D19" s="18"/>
      <c r="E19" s="18"/>
    </row>
    <row r="20" ht="20.05" customHeight="1">
      <c r="B20" s="32">
        <v>2019</v>
      </c>
      <c r="C20" s="17">
        <v>3550</v>
      </c>
      <c r="D20" s="18"/>
      <c r="E20" s="18"/>
    </row>
    <row r="21" ht="20.05" customHeight="1">
      <c r="B21" s="31"/>
      <c r="C21" s="17">
        <v>2830</v>
      </c>
      <c r="D21" s="18"/>
      <c r="E21" s="18"/>
    </row>
    <row r="22" ht="20.05" customHeight="1">
      <c r="B22" s="31"/>
      <c r="C22" s="17">
        <v>2440</v>
      </c>
      <c r="D22" s="18"/>
      <c r="E22" s="18"/>
    </row>
    <row r="23" ht="20.05" customHeight="1">
      <c r="B23" s="31"/>
      <c r="C23" s="17">
        <v>2490</v>
      </c>
      <c r="D23" s="22"/>
      <c r="E23" s="22"/>
    </row>
    <row r="24" ht="20.05" customHeight="1">
      <c r="B24" s="32">
        <v>2020</v>
      </c>
      <c r="C24" s="17">
        <v>965</v>
      </c>
      <c r="D24" s="22"/>
      <c r="E24" s="22"/>
    </row>
    <row r="25" ht="20.05" customHeight="1">
      <c r="B25" s="31"/>
      <c r="C25" s="17">
        <v>1090</v>
      </c>
      <c r="D25" s="22"/>
      <c r="E25" s="22"/>
    </row>
    <row r="26" ht="20.05" customHeight="1">
      <c r="B26" s="31"/>
      <c r="C26" s="17">
        <v>860</v>
      </c>
      <c r="D26" s="22"/>
      <c r="E26" s="22"/>
    </row>
    <row r="27" ht="20.05" customHeight="1">
      <c r="B27" s="31"/>
      <c r="C27" s="17">
        <v>1300</v>
      </c>
      <c r="D27" s="22"/>
      <c r="E27" s="22"/>
    </row>
    <row r="28" ht="20.05" customHeight="1">
      <c r="B28" s="32">
        <v>2021</v>
      </c>
      <c r="C28" s="17">
        <v>1290</v>
      </c>
      <c r="D28" s="22"/>
      <c r="E28" s="22"/>
    </row>
    <row r="29" ht="20.05" customHeight="1">
      <c r="B29" s="31"/>
      <c r="C29" s="17">
        <v>1210</v>
      </c>
      <c r="D29" s="22"/>
      <c r="E29" s="22"/>
    </row>
    <row r="30" ht="20.05" customHeight="1">
      <c r="B30" s="31"/>
      <c r="C30" s="17">
        <v>1235</v>
      </c>
      <c r="D30" s="22"/>
      <c r="E30" s="22"/>
    </row>
    <row r="31" ht="20.05" customHeight="1">
      <c r="B31" s="31"/>
      <c r="C31" s="17">
        <v>1380</v>
      </c>
      <c r="D31" s="22"/>
      <c r="E31" s="22"/>
    </row>
    <row r="32" ht="20.05" customHeight="1">
      <c r="B32" s="32">
        <v>2022</v>
      </c>
      <c r="C32" s="17">
        <v>1295</v>
      </c>
      <c r="D32" s="18">
        <f>C32</f>
        <v>1295</v>
      </c>
      <c r="E32" s="18">
        <v>3262.178195620870</v>
      </c>
    </row>
    <row r="33" ht="20.05" customHeight="1">
      <c r="B33" s="31"/>
      <c r="C33" s="17"/>
      <c r="D33" s="18">
        <f>'Model'!F43</f>
        <v>3723.276935701920</v>
      </c>
      <c r="E33" s="22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