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<sst xmlns="http://schemas.openxmlformats.org/spreadsheetml/2006/main" uniqueCount="86">
  <si>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</si>
  <si>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</si>
  <si>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</si>
  <si>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</si>
  <si>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</si>
  <si>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</si>
  <si>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</si>
  <si>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</si>
  <si>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</si>
  <si>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</si>
  <si>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</si>
  <si>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</si>
  <si>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</si>
  <si>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</si>
  <si>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</si>
  <si>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</si>
  <si>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</si>
  <si>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</si>
  <si>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</si>
  <si>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</si>
  <si>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</si>
  <si>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Provisions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</si>
  <si>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</si>
  <si>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</si>
  <si>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</si>
  <si>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</si>
  <si>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</si>
  <si>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</si>
  <si>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</si>
  <si>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</si>
  <si>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</si>
  <si>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</si>
  <si>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</si>
  <si>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</si>
  <si>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</si>
  <si>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</si>
  <si>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</si>
  <si>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</si>
  <si>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</si>
  <si>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</si>
  <si>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</si>
  <si>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</si>
  <si>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</si>
  <si>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</si>
  <si>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>Cashflow</t>
  </si>
  <si>
    <t xml:space="preserve">Receipts </t>
  </si>
  <si>
    <t xml:space="preserve">Free cashflow </t>
  </si>
  <si>
    <t xml:space="preserve">Cash </t>
  </si>
  <si>
    <t>Assets</t>
  </si>
  <si>
    <t xml:space="preserve">Other assets </t>
  </si>
  <si>
    <t>Check</t>
  </si>
  <si>
    <t>Net cash</t>
  </si>
  <si>
    <t>Share price</t>
  </si>
  <si>
    <t>Rp</t>
  </si>
  <si>
    <t>BFIN</t>
  </si>
  <si>
    <t>Target</t>
  </si>
  <si>
    <t xml:space="preserve">Previous </t>
  </si>
  <si>
    <t>Capital</t>
  </si>
  <si>
    <t>Total</t>
  </si>
  <si>
    <t>Table 1</t>
  </si>
  <si>
    <t xml:space="preserve">capital history </t>
  </si>
  <si>
    <t xml:space="preserve">Start date </t>
  </si>
  <si>
    <t xml:space="preserve">Number of quarters </t>
  </si>
  <si>
    <t xml:space="preserve">has </t>
  </si>
  <si>
    <t>raised</t>
  </si>
  <si>
    <t xml:space="preserve">liabilities </t>
  </si>
  <si>
    <t xml:space="preserve">by an average </t>
  </si>
  <si>
    <t xml:space="preserve">billion rupiah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</si>
  <si>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</si>
  <si>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</si>
  <si>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</si>
  <si>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</si>
  <si>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</si>
  <si>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</si>
  <si>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</si>
  <si>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</si>
  <si>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</si>
  <si>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</si>
  <si>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</si>
  <si>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</si>
  <si>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</si>
  <si>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</si>
  <si>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</si>
  <si>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</si>
  <si>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 xml:space="preserve">Total capital </t>
  </si>
  <si>
    <t xml:space="preserve">total capital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</si>
</sst>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mmmm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25"/>
      <color indexed="8"/>
      <name val="Helvetica Neue"/>
    </font>
    <font>
      <b val="1"/>
      <sz val="25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7" applyNumberFormat="0" applyFont="1" applyFill="0" applyBorder="1" applyAlignment="1" applyProtection="0">
      <alignment horizontal="right" vertical="top" wrapText="1"/>
    </xf>
    <xf numFmtId="3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919191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1552"/>
          <c:y val="0.0446026"/>
          <c:w val="0.83987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'Capital'!$A$9:$A$24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'Capital'!$E$9:$E$24</c:f>
              <c:numCache>
                <c:ptCount val="16"/>
                <c:pt idx="0">
                  <c:v>68.000000</c:v>
                </c:pt>
                <c:pt idx="1">
                  <c:v>936.000000</c:v>
                </c:pt>
                <c:pt idx="2">
                  <c:v>936.000000</c:v>
                </c:pt>
                <c:pt idx="3">
                  <c:v>-324.000000</c:v>
                </c:pt>
                <c:pt idx="4">
                  <c:v>794.000000</c:v>
                </c:pt>
                <c:pt idx="5">
                  <c:v>2192.000000</c:v>
                </c:pt>
                <c:pt idx="6">
                  <c:v>3462.000000</c:v>
                </c:pt>
                <c:pt idx="7">
                  <c:v>4991.000000</c:v>
                </c:pt>
                <c:pt idx="8">
                  <c:v>5945.000000</c:v>
                </c:pt>
                <c:pt idx="9">
                  <c:v>6843.000000</c:v>
                </c:pt>
                <c:pt idx="10">
                  <c:v>6561.000000</c:v>
                </c:pt>
                <c:pt idx="11">
                  <c:v>9648.000000</c:v>
                </c:pt>
                <c:pt idx="12">
                  <c:v>10942.000000</c:v>
                </c:pt>
                <c:pt idx="13">
                  <c:v>10469.000000</c:v>
                </c:pt>
                <c:pt idx="14">
                  <c:v>6742.000000</c:v>
                </c:pt>
                <c:pt idx="15">
                  <c:v>6236.000000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'Capital'!$A$9:$A$24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'Capital'!$F$9:$F$24</c:f>
              <c:numCache>
                <c:ptCount val="16"/>
                <c:pt idx="0">
                  <c:v>-26.000000</c:v>
                </c:pt>
                <c:pt idx="1">
                  <c:v>-75.000000</c:v>
                </c:pt>
                <c:pt idx="2">
                  <c:v>-75.000000</c:v>
                </c:pt>
                <c:pt idx="3">
                  <c:v>-166.000000</c:v>
                </c:pt>
                <c:pt idx="4">
                  <c:v>-268.000000</c:v>
                </c:pt>
                <c:pt idx="5">
                  <c:v>-268.000000</c:v>
                </c:pt>
                <c:pt idx="6">
                  <c:v>-268.000000</c:v>
                </c:pt>
                <c:pt idx="7">
                  <c:v>-255.000000</c:v>
                </c:pt>
                <c:pt idx="8">
                  <c:v>-399.000000</c:v>
                </c:pt>
                <c:pt idx="9">
                  <c:v>-882.000000</c:v>
                </c:pt>
                <c:pt idx="10">
                  <c:v>-1393.000000</c:v>
                </c:pt>
                <c:pt idx="11">
                  <c:v>-1902.000000</c:v>
                </c:pt>
                <c:pt idx="12">
                  <c:v>-2141.000000</c:v>
                </c:pt>
                <c:pt idx="13">
                  <c:v>-2874.000000</c:v>
                </c:pt>
                <c:pt idx="14">
                  <c:v>-3054.000000</c:v>
                </c:pt>
                <c:pt idx="15">
                  <c:v>-3428.000000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929292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929292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'Capital'!$A$9:$A$24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'Capital'!$G$9:$G$24</c:f>
              <c:numCache>
                <c:ptCount val="16"/>
                <c:pt idx="0">
                  <c:v>42.000000</c:v>
                </c:pt>
                <c:pt idx="1">
                  <c:v>861.000000</c:v>
                </c:pt>
                <c:pt idx="2">
                  <c:v>861.000000</c:v>
                </c:pt>
                <c:pt idx="3">
                  <c:v>-490.000000</c:v>
                </c:pt>
                <c:pt idx="4">
                  <c:v>526.000000</c:v>
                </c:pt>
                <c:pt idx="5">
                  <c:v>1924.000000</c:v>
                </c:pt>
                <c:pt idx="6">
                  <c:v>3194.000000</c:v>
                </c:pt>
                <c:pt idx="7">
                  <c:v>4736.000000</c:v>
                </c:pt>
                <c:pt idx="8">
                  <c:v>5546.000000</c:v>
                </c:pt>
                <c:pt idx="9">
                  <c:v>5961.000000</c:v>
                </c:pt>
                <c:pt idx="10">
                  <c:v>5168.000000</c:v>
                </c:pt>
                <c:pt idx="11">
                  <c:v>7746.000000</c:v>
                </c:pt>
                <c:pt idx="12">
                  <c:v>8801.000000</c:v>
                </c:pt>
                <c:pt idx="13">
                  <c:v>7595.000000</c:v>
                </c:pt>
                <c:pt idx="14">
                  <c:v>3688.000000</c:v>
                </c:pt>
                <c:pt idx="15">
                  <c:v>2808.000000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4500"/>
        <c:minorUnit val="22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81375"/>
          <c:y val="0.0423418"/>
          <c:w val="0.319625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454650</xdr:colOff>
      <xdr:row>1</xdr:row>
      <xdr:rowOff>343266</xdr:rowOff>
    </xdr:from>
    <xdr:to>
      <xdr:col>13</xdr:col>
      <xdr:colOff>1025308</xdr:colOff>
      <xdr:row>50</xdr:row>
      <xdr:rowOff>103829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34550" y="499476"/>
          <a:ext cx="9282859" cy="123373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54705</xdr:colOff>
      <xdr:row>33</xdr:row>
      <xdr:rowOff>81646</xdr:rowOff>
    </xdr:from>
    <xdr:to>
      <xdr:col>4</xdr:col>
      <xdr:colOff>560228</xdr:colOff>
      <xdr:row>41</xdr:row>
      <xdr:rowOff>10082</xdr:rowOff>
    </xdr:to>
    <xdr:graphicFrame>
      <xdr:nvGraphicFramePr>
        <xdr:cNvPr id="4" name="2D Line Chart"/>
        <xdr:cNvGraphicFramePr/>
      </xdr:nvGraphicFramePr>
      <xdr:xfrm>
        <a:off x="54705" y="9143096"/>
        <a:ext cx="3553524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29</xdr:row>
      <xdr:rowOff>103004</xdr:rowOff>
    </xdr:from>
    <xdr:to>
      <xdr:col>6</xdr:col>
      <xdr:colOff>371311</xdr:colOff>
      <xdr:row>33</xdr:row>
      <xdr:rowOff>200366</xdr:rowOff>
    </xdr:to>
    <xdr:sp>
      <xdr:nvSpPr>
        <xdr:cNvPr id="5" name="BFIN CAPITAL RAISED IS DOWN TO 2.8 TRILLION RUPIAH"/>
        <xdr:cNvSpPr txBox="1"/>
      </xdr:nvSpPr>
      <xdr:spPr>
        <a:xfrm>
          <a:off x="-640189" y="7841114"/>
          <a:ext cx="4943312" cy="14207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BFIN CAPITAL RAISED IS DOWN TO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2.8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062" style="1" customWidth="1"/>
    <col min="2" max="2" width="14.8281" style="1" customWidth="1"/>
    <col min="3" max="6" width="9" style="1" customWidth="1"/>
    <col min="7" max="16384" width="16.3516" style="1" customWidth="1"/>
  </cols>
  <sheetData>
    <row r="1" ht="1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AVERAGE('Sales'!G16:G19)</f>
        <v>0.0448127458051652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0.02</v>
      </c>
      <c r="D5" s="12">
        <v>0.05</v>
      </c>
      <c r="E5" s="12">
        <v>0.06</v>
      </c>
      <c r="F5" s="12">
        <v>-0.01</v>
      </c>
    </row>
    <row r="6" ht="20.05" customHeight="1">
      <c r="B6" t="s" s="10">
        <v>5</v>
      </c>
      <c r="C6" s="13">
        <f>'Sales'!B19*(1+C5)</f>
        <v>1196.46</v>
      </c>
      <c r="D6" s="14">
        <f>C6*(1+D5)</f>
        <v>1256.283</v>
      </c>
      <c r="E6" s="14">
        <f>D6*(1+E5)</f>
        <v>1331.65998</v>
      </c>
      <c r="F6" s="14">
        <f>E6*(1+F5)</f>
        <v>1318.3433802</v>
      </c>
    </row>
    <row r="7" ht="20.05" customHeight="1">
      <c r="B7" t="s" s="10">
        <v>6</v>
      </c>
      <c r="C7" s="15">
        <f>AVERAGE('Sales'!H19)</f>
        <v>-0.549872122762148</v>
      </c>
      <c r="D7" s="16">
        <f>C7</f>
        <v>-0.549872122762148</v>
      </c>
      <c r="E7" s="16">
        <f>D7</f>
        <v>-0.549872122762148</v>
      </c>
      <c r="F7" s="16">
        <f>E7</f>
        <v>-0.549872122762148</v>
      </c>
    </row>
    <row r="8" ht="20.05" customHeight="1">
      <c r="B8" t="s" s="10">
        <v>7</v>
      </c>
      <c r="C8" s="17">
        <f>C6*C7</f>
        <v>-657.9</v>
      </c>
      <c r="D8" s="18">
        <f>D6*D7</f>
        <v>-690.795</v>
      </c>
      <c r="E8" s="18">
        <f>E6*E7</f>
        <v>-732.2427</v>
      </c>
      <c r="F8" s="18">
        <f>F6*F7</f>
        <v>-724.920273</v>
      </c>
    </row>
    <row r="9" ht="20.05" customHeight="1">
      <c r="B9" t="s" s="10">
        <v>8</v>
      </c>
      <c r="C9" s="17">
        <f>C6+C8</f>
        <v>538.5599999999999</v>
      </c>
      <c r="D9" s="18">
        <f>D6+D8</f>
        <v>565.4880000000001</v>
      </c>
      <c r="E9" s="18">
        <f>E6+E8</f>
        <v>599.41728</v>
      </c>
      <c r="F9" s="18">
        <f>F6+F8</f>
        <v>593.4231072</v>
      </c>
    </row>
    <row r="10" ht="20.05" customHeight="1">
      <c r="B10" t="s" s="10">
        <v>9</v>
      </c>
      <c r="C10" s="17">
        <f>AVERAGE('Cashflow '!E20)</f>
        <v>-29</v>
      </c>
      <c r="D10" s="18">
        <f>C10</f>
        <v>-29</v>
      </c>
      <c r="E10" s="18">
        <f>D10</f>
        <v>-29</v>
      </c>
      <c r="F10" s="18">
        <f>E10</f>
        <v>-29</v>
      </c>
    </row>
    <row r="11" ht="20.05" customHeight="1">
      <c r="B11" t="s" s="10">
        <v>10</v>
      </c>
      <c r="C11" s="17">
        <f>C12+C15+C13</f>
        <v>-509.56</v>
      </c>
      <c r="D11" s="18">
        <f>D12+D15+D13</f>
        <v>-536.4880000000001</v>
      </c>
      <c r="E11" s="18">
        <f>E12+E15+E13</f>
        <v>-570.41728</v>
      </c>
      <c r="F11" s="18">
        <f>F12+F15+F13</f>
        <v>-564.4231072</v>
      </c>
    </row>
    <row r="12" ht="20.05" customHeight="1">
      <c r="B12" t="s" s="10">
        <v>11</v>
      </c>
      <c r="C12" s="17">
        <f>-'Balance sheet'!G20/20</f>
        <v>-426.5</v>
      </c>
      <c r="D12" s="18">
        <f>-C28/20</f>
        <v>-405.175</v>
      </c>
      <c r="E12" s="18">
        <f>-D28/20</f>
        <v>-384.91625</v>
      </c>
      <c r="F12" s="18">
        <f>-E28/20</f>
        <v>-365.6704375</v>
      </c>
    </row>
    <row r="13" ht="20.05" customHeight="1">
      <c r="B13" t="s" s="10">
        <v>12</v>
      </c>
      <c r="C13" s="17">
        <f>-MIN(0,C16)</f>
        <v>97.108</v>
      </c>
      <c r="D13" s="18">
        <f>-MIN(C29,D16)</f>
        <v>56.9334</v>
      </c>
      <c r="E13" s="18">
        <f>-MIN(D29,E16)</f>
        <v>12.924154</v>
      </c>
      <c r="F13" s="18">
        <f>-MIN(E29,F16)</f>
        <v>-2.12573754</v>
      </c>
    </row>
    <row r="14" ht="20.05" customHeight="1">
      <c r="B14" t="s" s="10">
        <v>13</v>
      </c>
      <c r="C14" s="19">
        <v>0.3</v>
      </c>
      <c r="D14" s="18"/>
      <c r="E14" s="18"/>
      <c r="F14" s="18"/>
    </row>
    <row r="15" ht="20.05" customHeight="1">
      <c r="B15" t="s" s="10">
        <v>14</v>
      </c>
      <c r="C15" s="17">
        <f>IF(C23&gt;0,-C23*$C$14,0)</f>
        <v>-180.168</v>
      </c>
      <c r="D15" s="18">
        <f>IF(D23&gt;0,-D23*$C$14,0)</f>
        <v>-188.2464</v>
      </c>
      <c r="E15" s="18">
        <f>IF(E23&gt;0,-E23*$C$14,0)</f>
        <v>-198.425184</v>
      </c>
      <c r="F15" s="18">
        <f>IF(F23&gt;0,-F23*$C$14,0)</f>
        <v>-196.62693216</v>
      </c>
    </row>
    <row r="16" ht="20.05" customHeight="1">
      <c r="B16" t="s" s="10">
        <v>15</v>
      </c>
      <c r="C16" s="17">
        <f>C9+C10+C12+C15</f>
        <v>-97.108</v>
      </c>
      <c r="D16" s="18">
        <f>D9+D10+D12+D15</f>
        <v>-56.9334</v>
      </c>
      <c r="E16" s="18">
        <f>E9+E10+E12+E15</f>
        <v>-12.924154</v>
      </c>
      <c r="F16" s="18">
        <f>F9+F10+F12+F15</f>
        <v>2.12573754</v>
      </c>
    </row>
    <row r="17" ht="20.05" customHeight="1">
      <c r="B17" t="s" s="10">
        <v>16</v>
      </c>
      <c r="C17" s="17">
        <f>'Balance sheet'!C20</f>
        <v>628</v>
      </c>
      <c r="D17" s="18">
        <f>C19</f>
        <v>628</v>
      </c>
      <c r="E17" s="18">
        <f>D19</f>
        <v>628</v>
      </c>
      <c r="F17" s="18">
        <f>E19</f>
        <v>628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628</v>
      </c>
      <c r="D19" s="18">
        <f>D17+D18</f>
        <v>628</v>
      </c>
      <c r="E19" s="18">
        <f>E17+E18</f>
        <v>628</v>
      </c>
      <c r="F19" s="18">
        <f>F17+F18</f>
        <v>628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-AVERAGE('Sales'!E19)</f>
        <v>-35</v>
      </c>
      <c r="D21" s="18">
        <f>C21</f>
        <v>-35</v>
      </c>
      <c r="E21" s="18">
        <f>D21</f>
        <v>-35</v>
      </c>
      <c r="F21" s="18">
        <f>E21</f>
        <v>-35</v>
      </c>
    </row>
    <row r="22" ht="20.05" customHeight="1">
      <c r="B22" t="s" s="10">
        <v>21</v>
      </c>
      <c r="C22" s="17">
        <f>AVERAGE('Sales'!D19)</f>
        <v>97</v>
      </c>
      <c r="D22" s="18">
        <f>C22</f>
        <v>97</v>
      </c>
      <c r="E22" s="18">
        <f>D22</f>
        <v>97</v>
      </c>
      <c r="F22" s="18">
        <f>E22</f>
        <v>97</v>
      </c>
    </row>
    <row r="23" ht="20.05" customHeight="1">
      <c r="B23" t="s" s="10">
        <v>19</v>
      </c>
      <c r="C23" s="17">
        <f>C6+C8+C21+C22</f>
        <v>600.5599999999999</v>
      </c>
      <c r="D23" s="18">
        <f>D6+D8+D21+D22</f>
        <v>627.4880000000001</v>
      </c>
      <c r="E23" s="18">
        <f>E6+E8+E21+E22</f>
        <v>661.41728</v>
      </c>
      <c r="F23" s="18">
        <f>F6+F8+F21+F22</f>
        <v>655.4231072</v>
      </c>
    </row>
    <row r="24" ht="20.05" customHeight="1">
      <c r="B24" t="s" s="20">
        <v>22</v>
      </c>
      <c r="C24" s="17"/>
      <c r="D24" s="18"/>
      <c r="E24" s="18"/>
      <c r="F24" s="18"/>
    </row>
    <row r="25" ht="20.05" customHeight="1">
      <c r="B25" t="s" s="10">
        <v>23</v>
      </c>
      <c r="C25" s="17">
        <f>'Balance sheet'!E20+'Balance sheet'!F20-C10</f>
        <v>16456</v>
      </c>
      <c r="D25" s="18">
        <f>C25-D10</f>
        <v>16485</v>
      </c>
      <c r="E25" s="18">
        <f>D25-E10</f>
        <v>16514</v>
      </c>
      <c r="F25" s="18">
        <f>E25-F10</f>
        <v>16543</v>
      </c>
    </row>
    <row r="26" ht="20.05" customHeight="1">
      <c r="B26" t="s" s="10">
        <v>24</v>
      </c>
      <c r="C26" s="17">
        <f>'Balance sheet'!F20-C21</f>
        <v>735</v>
      </c>
      <c r="D26" s="18">
        <f>C26-D21</f>
        <v>770</v>
      </c>
      <c r="E26" s="18">
        <f>D26-E21</f>
        <v>805</v>
      </c>
      <c r="F26" s="18">
        <f>E26-F21</f>
        <v>840</v>
      </c>
    </row>
    <row r="27" ht="20.05" customHeight="1">
      <c r="B27" t="s" s="10">
        <v>25</v>
      </c>
      <c r="C27" s="17">
        <f>C25-C26</f>
        <v>15721</v>
      </c>
      <c r="D27" s="18">
        <f>D25-D26</f>
        <v>15715</v>
      </c>
      <c r="E27" s="18">
        <f>E25-E26</f>
        <v>15709</v>
      </c>
      <c r="F27" s="18">
        <f>F25-F26</f>
        <v>15703</v>
      </c>
    </row>
    <row r="28" ht="20.05" customHeight="1">
      <c r="B28" t="s" s="10">
        <v>11</v>
      </c>
      <c r="C28" s="17">
        <f>'Balance sheet'!G20+C12</f>
        <v>8103.5</v>
      </c>
      <c r="D28" s="18">
        <f>C28+D12</f>
        <v>7698.325</v>
      </c>
      <c r="E28" s="18">
        <f>D28+E12</f>
        <v>7313.40875</v>
      </c>
      <c r="F28" s="18">
        <f>E28+F12</f>
        <v>6947.7383125</v>
      </c>
    </row>
    <row r="29" ht="20.05" customHeight="1">
      <c r="B29" t="s" s="10">
        <v>12</v>
      </c>
      <c r="C29" s="17">
        <f>C13</f>
        <v>97.108</v>
      </c>
      <c r="D29" s="18">
        <f>C29+D13</f>
        <v>154.0414</v>
      </c>
      <c r="E29" s="18">
        <f>D29+E13</f>
        <v>166.965554</v>
      </c>
      <c r="F29" s="18">
        <f>E29+F13</f>
        <v>164.83981646</v>
      </c>
    </row>
    <row r="30" ht="20.05" customHeight="1">
      <c r="B30" t="s" s="10">
        <v>14</v>
      </c>
      <c r="C30" s="17">
        <f>'Balance sheet'!H20+C23+C15</f>
        <v>8245.392</v>
      </c>
      <c r="D30" s="18">
        <f>C30+D15+D23</f>
        <v>8684.633599999999</v>
      </c>
      <c r="E30" s="18">
        <f>D30+E15+E23</f>
        <v>9147.625695999999</v>
      </c>
      <c r="F30" s="18">
        <f>E30+F15+F23</f>
        <v>9606.42187104</v>
      </c>
    </row>
    <row r="31" ht="20.05" customHeight="1">
      <c r="B31" t="s" s="10">
        <v>26</v>
      </c>
      <c r="C31" s="17">
        <f>C28+C29+C30-C19-C27</f>
        <v>97</v>
      </c>
      <c r="D31" s="18">
        <f>D28+D29+D30-D19-D27</f>
        <v>194</v>
      </c>
      <c r="E31" s="18">
        <f>E28+E29+E30-E19-E27</f>
        <v>291</v>
      </c>
      <c r="F31" s="18">
        <f>F28+F29+F30-F19-F27</f>
        <v>388</v>
      </c>
    </row>
    <row r="32" ht="20.05" customHeight="1">
      <c r="B32" t="s" s="10">
        <v>27</v>
      </c>
      <c r="C32" s="17">
        <f>C19-C28-C29</f>
        <v>-7572.608</v>
      </c>
      <c r="D32" s="18">
        <f>D19-D28-D29</f>
        <v>-7224.3664</v>
      </c>
      <c r="E32" s="18">
        <f>E19-E28-E29</f>
        <v>-6852.374304</v>
      </c>
      <c r="F32" s="18">
        <f>F19-F28-F29</f>
        <v>-6484.57812896</v>
      </c>
    </row>
    <row r="33" ht="20.05" customHeight="1">
      <c r="B33" t="s" s="10">
        <v>28</v>
      </c>
      <c r="C33" s="17"/>
      <c r="D33" s="18"/>
      <c r="E33" s="18"/>
      <c r="F33" s="18"/>
    </row>
    <row r="34" ht="20.05" customHeight="1">
      <c r="B34" t="s" s="10">
        <v>29</v>
      </c>
      <c r="C34" s="17">
        <f>'Cashflow '!L20-C11</f>
        <v>4556.56</v>
      </c>
      <c r="D34" s="18">
        <f>C34-D11</f>
        <v>5093.048</v>
      </c>
      <c r="E34" s="18">
        <f>D34-E11</f>
        <v>5663.46528</v>
      </c>
      <c r="F34" s="18">
        <f>E34-F11</f>
        <v>6227.8883872</v>
      </c>
    </row>
    <row r="35" ht="20.05" customHeight="1">
      <c r="B35" t="s" s="10">
        <v>30</v>
      </c>
      <c r="C35" s="17"/>
      <c r="D35" s="18"/>
      <c r="E35" s="18"/>
      <c r="F35" s="18">
        <v>19229254352896</v>
      </c>
    </row>
    <row r="36" ht="20.05" customHeight="1">
      <c r="B36" t="s" s="10">
        <v>30</v>
      </c>
      <c r="C36" s="17"/>
      <c r="D36" s="18"/>
      <c r="E36" s="18"/>
      <c r="F36" s="18">
        <f>F35/1000000000</f>
        <v>19229.254352896</v>
      </c>
    </row>
    <row r="37" ht="20.05" customHeight="1">
      <c r="B37" t="s" s="10">
        <v>31</v>
      </c>
      <c r="C37" s="17"/>
      <c r="D37" s="18"/>
      <c r="E37" s="18"/>
      <c r="F37" s="22">
        <f>F36/(F19+F27)</f>
        <v>1.17746949684012</v>
      </c>
    </row>
    <row r="38" ht="20.05" customHeight="1">
      <c r="B38" t="s" s="10">
        <v>32</v>
      </c>
      <c r="C38" s="17"/>
      <c r="D38" s="18"/>
      <c r="E38" s="18"/>
      <c r="F38" s="16">
        <f>-(C15+D15+E15+F15)/F36</f>
        <v>0.0397033864209622</v>
      </c>
    </row>
    <row r="39" ht="20.05" customHeight="1">
      <c r="B39" t="s" s="10">
        <v>3</v>
      </c>
      <c r="C39" s="17"/>
      <c r="D39" s="18"/>
      <c r="E39" s="18"/>
      <c r="F39" s="18">
        <f>SUM(C9:F10)</f>
        <v>2180.8883872</v>
      </c>
    </row>
    <row r="40" ht="20.05" customHeight="1">
      <c r="B40" t="s" s="10">
        <v>33</v>
      </c>
      <c r="C40" s="17"/>
      <c r="D40" s="18"/>
      <c r="E40" s="18"/>
      <c r="F40" s="18">
        <f>'Balance sheet'!E20/F39</f>
        <v>7.21128146323508</v>
      </c>
    </row>
    <row r="41" ht="20.05" customHeight="1">
      <c r="B41" t="s" s="10">
        <v>28</v>
      </c>
      <c r="C41" s="17"/>
      <c r="D41" s="18"/>
      <c r="E41" s="18"/>
      <c r="F41" s="18">
        <f>F36/F39</f>
        <v>8.81716573198139</v>
      </c>
    </row>
    <row r="42" ht="20.05" customHeight="1">
      <c r="B42" t="s" s="10">
        <v>34</v>
      </c>
      <c r="C42" s="17"/>
      <c r="D42" s="18"/>
      <c r="E42" s="18"/>
      <c r="F42" s="18">
        <v>12</v>
      </c>
    </row>
    <row r="43" ht="20.05" customHeight="1">
      <c r="B43" t="s" s="10">
        <v>35</v>
      </c>
      <c r="C43" s="17"/>
      <c r="D43" s="18"/>
      <c r="E43" s="18"/>
      <c r="F43" s="18">
        <f>F39*F42</f>
        <v>26170.6606464</v>
      </c>
    </row>
    <row r="44" ht="20.05" customHeight="1">
      <c r="B44" t="s" s="10">
        <v>36</v>
      </c>
      <c r="C44" s="17"/>
      <c r="D44" s="18"/>
      <c r="E44" s="18"/>
      <c r="F44" s="18">
        <f>F36/F46</f>
        <v>14.9644002746272</v>
      </c>
    </row>
    <row r="45" ht="20.05" customHeight="1">
      <c r="B45" t="s" s="10">
        <v>37</v>
      </c>
      <c r="C45" s="17"/>
      <c r="D45" s="18"/>
      <c r="E45" s="18"/>
      <c r="F45" s="18">
        <f>F43/F44</f>
        <v>1748.861308580040</v>
      </c>
    </row>
    <row r="46" ht="20.05" customHeight="1">
      <c r="B46" t="s" s="10">
        <v>38</v>
      </c>
      <c r="C46" s="17"/>
      <c r="D46" s="18"/>
      <c r="E46" s="18"/>
      <c r="F46" s="18">
        <v>1285</v>
      </c>
    </row>
    <row r="47" ht="20.05" customHeight="1">
      <c r="B47" t="s" s="10">
        <v>39</v>
      </c>
      <c r="C47" s="17"/>
      <c r="D47" s="18"/>
      <c r="E47" s="18"/>
      <c r="F47" s="16">
        <f>F45/F46-1</f>
        <v>0.360981563097307</v>
      </c>
    </row>
    <row r="48" ht="20.05" customHeight="1">
      <c r="B48" t="s" s="10">
        <v>40</v>
      </c>
      <c r="C48" s="17"/>
      <c r="D48" s="18"/>
      <c r="E48" s="18"/>
      <c r="F48" s="16">
        <f>'Sales'!B19/'Sales'!B15-1</f>
        <v>0.183652875882947</v>
      </c>
    </row>
    <row r="49" ht="20.05" customHeight="1">
      <c r="B49" t="s" s="10">
        <v>41</v>
      </c>
      <c r="C49" s="17"/>
      <c r="D49" s="18"/>
      <c r="E49" s="18"/>
      <c r="F49" s="16">
        <f>'Sales'!E22/'Sales'!D22-1</f>
        <v>-0.0260358056265985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8672" style="23" customWidth="1"/>
    <col min="11" max="16384" width="16.3516" style="23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5</v>
      </c>
      <c r="C2" t="s" s="5">
        <v>34</v>
      </c>
      <c r="D2" t="s" s="5">
        <v>21</v>
      </c>
      <c r="E2" t="s" s="5">
        <v>24</v>
      </c>
      <c r="F2" t="s" s="5">
        <v>42</v>
      </c>
      <c r="G2" t="s" s="5">
        <v>43</v>
      </c>
      <c r="H2" t="s" s="5">
        <v>6</v>
      </c>
      <c r="I2" t="s" s="5">
        <v>6</v>
      </c>
      <c r="J2" t="s" s="5">
        <v>34</v>
      </c>
    </row>
    <row r="3" ht="20.25" customHeight="1">
      <c r="A3" s="24">
        <v>2018</v>
      </c>
      <c r="B3" s="25">
        <v>1176</v>
      </c>
      <c r="C3" s="26"/>
      <c r="D3" s="27">
        <v>103</v>
      </c>
      <c r="E3" s="27">
        <v>21</v>
      </c>
      <c r="F3" s="27">
        <v>351</v>
      </c>
      <c r="G3" s="28"/>
      <c r="H3" s="9">
        <f>(D3+E3+F3-B3)/B3</f>
        <v>-0.59608843537415</v>
      </c>
      <c r="I3" s="28"/>
      <c r="J3" s="28"/>
    </row>
    <row r="4" ht="20.05" customHeight="1">
      <c r="A4" s="29"/>
      <c r="B4" s="13">
        <f>2426-B3</f>
        <v>1250</v>
      </c>
      <c r="C4" s="14"/>
      <c r="D4" s="18">
        <f>257-D3</f>
        <v>154</v>
      </c>
      <c r="E4" s="18">
        <v>21</v>
      </c>
      <c r="F4" s="18">
        <f>703-F3</f>
        <v>352</v>
      </c>
      <c r="G4" s="16">
        <f>B4/B3-1</f>
        <v>0.0629251700680272</v>
      </c>
      <c r="H4" s="12">
        <f>(D4+E4+F4-B4)/B4</f>
        <v>-0.5784</v>
      </c>
      <c r="I4" s="16">
        <f>AVERAGE(H2:H4)</f>
        <v>-0.587244217687075</v>
      </c>
      <c r="J4" s="16"/>
    </row>
    <row r="5" ht="20.05" customHeight="1">
      <c r="A5" s="29"/>
      <c r="B5" s="13">
        <f>3724-B4-B3</f>
        <v>1298</v>
      </c>
      <c r="C5" s="14"/>
      <c r="D5" s="18">
        <f>368-D4-D3</f>
        <v>111</v>
      </c>
      <c r="E5" s="18">
        <v>21</v>
      </c>
      <c r="F5" s="18">
        <f>1094-F4-F3</f>
        <v>391</v>
      </c>
      <c r="G5" s="16">
        <f>B5/B4-1</f>
        <v>0.0384</v>
      </c>
      <c r="H5" s="12">
        <f>(D5+E5+F5-B5)/B5</f>
        <v>-0.597072419106317</v>
      </c>
      <c r="I5" s="16">
        <f>AVERAGE(H2:H5)</f>
        <v>-0.590520284826822</v>
      </c>
      <c r="J5" s="16"/>
    </row>
    <row r="6" ht="20.05" customHeight="1">
      <c r="A6" s="29"/>
      <c r="B6" s="13">
        <f>5018-B5-B4-B3</f>
        <v>1294</v>
      </c>
      <c r="C6" s="14"/>
      <c r="D6" s="18">
        <f>526-D5-D4-D3</f>
        <v>158</v>
      </c>
      <c r="E6" s="18">
        <v>21</v>
      </c>
      <c r="F6" s="18">
        <f>1468-F5-F4-F3</f>
        <v>374</v>
      </c>
      <c r="G6" s="16">
        <f>B6/B5-1</f>
        <v>-0.00308166409861325</v>
      </c>
      <c r="H6" s="12">
        <f>(D6+E6+F6-B6)/B6</f>
        <v>-0.572642967542504</v>
      </c>
      <c r="I6" s="16">
        <f>AVERAGE(H2:H6)</f>
        <v>-0.586050955505743</v>
      </c>
      <c r="J6" s="16"/>
    </row>
    <row r="7" ht="20.05" customHeight="1">
      <c r="A7" s="30">
        <v>2019</v>
      </c>
      <c r="B7" s="13">
        <v>1248</v>
      </c>
      <c r="C7" s="14"/>
      <c r="D7" s="18">
        <v>136</v>
      </c>
      <c r="E7" s="18">
        <v>23</v>
      </c>
      <c r="F7" s="18">
        <v>336.8</v>
      </c>
      <c r="G7" s="16">
        <f>B7/B6-1</f>
        <v>-0.035548686244204</v>
      </c>
      <c r="H7" s="12">
        <f>(D7+E7+F7-B7)/B7</f>
        <v>-0.6027243589743591</v>
      </c>
      <c r="I7" s="16">
        <f>AVERAGE(H2:H7)</f>
        <v>-0.589385636199466</v>
      </c>
      <c r="J7" s="16"/>
    </row>
    <row r="8" ht="20.05" customHeight="1">
      <c r="A8" s="29"/>
      <c r="B8" s="13">
        <f>2507-B7</f>
        <v>1259</v>
      </c>
      <c r="C8" s="14"/>
      <c r="D8" s="18">
        <f>249+13-D7</f>
        <v>126</v>
      </c>
      <c r="E8" s="18">
        <v>23</v>
      </c>
      <c r="F8" s="18">
        <f>690-F7</f>
        <v>353.2</v>
      </c>
      <c r="G8" s="16">
        <f>B8/B7-1</f>
        <v>0.008814102564102561</v>
      </c>
      <c r="H8" s="12">
        <f>(D8+E8+F8-B8)/B8</f>
        <v>-0.601111993645751</v>
      </c>
      <c r="I8" s="16">
        <f>AVERAGE(H2:H8)</f>
        <v>-0.59134002910718</v>
      </c>
      <c r="J8" s="16"/>
    </row>
    <row r="9" ht="20.05" customHeight="1">
      <c r="A9" s="29"/>
      <c r="B9" s="13">
        <f>3834.7-B8-B7</f>
        <v>1327.7</v>
      </c>
      <c r="C9" s="14"/>
      <c r="D9" s="18">
        <f>344-D8-D7</f>
        <v>82</v>
      </c>
      <c r="E9" s="18">
        <v>23</v>
      </c>
      <c r="F9" s="18">
        <f>1090-F8-F7</f>
        <v>400</v>
      </c>
      <c r="G9" s="16">
        <f>B9/B8-1</f>
        <v>0.0545671167593328</v>
      </c>
      <c r="H9" s="12">
        <f>(D9+E9+F9-B9)/B9</f>
        <v>-0.619642991639678</v>
      </c>
      <c r="I9" s="16">
        <f>AVERAGE(H7:H9)</f>
        <v>-0.607826448086596</v>
      </c>
      <c r="J9" s="16"/>
    </row>
    <row r="10" ht="20.05" customHeight="1">
      <c r="A10" s="29"/>
      <c r="B10" s="13">
        <f>5241-B9-B8-B7</f>
        <v>1406.3</v>
      </c>
      <c r="C10" s="14"/>
      <c r="D10" s="18">
        <f>426+792-D9-D8-D7</f>
        <v>874</v>
      </c>
      <c r="E10" s="18">
        <v>23</v>
      </c>
      <c r="F10" s="18">
        <f>711.7-F9-F8-F7</f>
        <v>-378.3</v>
      </c>
      <c r="G10" s="16">
        <f>B10/B9-1</f>
        <v>0.0592001205091512</v>
      </c>
      <c r="H10" s="12">
        <f>(D10+E10+F10-B10)/B10</f>
        <v>-0.631159780985565</v>
      </c>
      <c r="I10" s="16">
        <f>AVERAGE(H7:H10)</f>
        <v>-0.613659781311338</v>
      </c>
      <c r="J10" s="16"/>
    </row>
    <row r="11" ht="20.05" customHeight="1">
      <c r="A11" s="30">
        <v>2020</v>
      </c>
      <c r="B11" s="13">
        <v>1374.6</v>
      </c>
      <c r="C11" s="14"/>
      <c r="D11" s="18">
        <v>226</v>
      </c>
      <c r="E11" s="18">
        <v>31</v>
      </c>
      <c r="F11" s="18">
        <v>327.9</v>
      </c>
      <c r="G11" s="16">
        <f>B11/B10-1</f>
        <v>-0.0225414207494845</v>
      </c>
      <c r="H11" s="12">
        <f>(D11+E11+F11-B11)/B11</f>
        <v>-0.574494398370435</v>
      </c>
      <c r="I11" s="16">
        <f>AVERAGE(H8:H11)</f>
        <v>-0.606602291160357</v>
      </c>
      <c r="J11" s="16"/>
    </row>
    <row r="12" ht="20.05" customHeight="1">
      <c r="A12" s="29"/>
      <c r="B12" s="13">
        <f>2438.5-B11</f>
        <v>1063.9</v>
      </c>
      <c r="C12" s="14"/>
      <c r="D12" s="18">
        <f>684-D11</f>
        <v>458</v>
      </c>
      <c r="E12" s="18">
        <v>31</v>
      </c>
      <c r="F12" s="18">
        <f>332-F11</f>
        <v>4.1</v>
      </c>
      <c r="G12" s="16">
        <f>B12/B11-1</f>
        <v>-0.226029390368107</v>
      </c>
      <c r="H12" s="12">
        <f>(D12+E12+F12-B12)/B12</f>
        <v>-0.536516589905066</v>
      </c>
      <c r="I12" s="16">
        <f>AVERAGE(H9:H12)</f>
        <v>-0.590453440225186</v>
      </c>
      <c r="J12" s="16"/>
    </row>
    <row r="13" ht="20.05" customHeight="1">
      <c r="A13" s="29"/>
      <c r="B13" s="13">
        <f>3509-B12-B11</f>
        <v>1070.5</v>
      </c>
      <c r="C13" s="14"/>
      <c r="D13" s="18">
        <f>913-D12-D11</f>
        <v>229</v>
      </c>
      <c r="E13" s="18">
        <v>31</v>
      </c>
      <c r="F13" s="18">
        <f>521-F12-F11</f>
        <v>189</v>
      </c>
      <c r="G13" s="16">
        <f>B13/B12-1</f>
        <v>0.00620359056302284</v>
      </c>
      <c r="H13" s="12">
        <f>(D13+E13+F13-B13)/B13</f>
        <v>-0.580569827183559</v>
      </c>
      <c r="I13" s="16">
        <f>AVERAGE(H10:H13)</f>
        <v>-0.580685149111156</v>
      </c>
      <c r="J13" s="16"/>
    </row>
    <row r="14" ht="20.05" customHeight="1">
      <c r="A14" s="29"/>
      <c r="B14" s="13">
        <f>4570-B13-B12-B11</f>
        <v>1061</v>
      </c>
      <c r="C14" s="14"/>
      <c r="D14" s="18">
        <f>1171-D13-D12-D11</f>
        <v>258</v>
      </c>
      <c r="E14" s="18">
        <v>31</v>
      </c>
      <c r="F14" s="18">
        <f>702-F13-F12-F11</f>
        <v>181</v>
      </c>
      <c r="G14" s="16">
        <f>B14/B13-1</f>
        <v>-0.00887435777673984</v>
      </c>
      <c r="H14" s="12">
        <f>(D14+E14+F14-B14)/B14</f>
        <v>-0.557021677662582</v>
      </c>
      <c r="I14" s="16">
        <f>AVERAGE(H11:H14)</f>
        <v>-0.562150623280411</v>
      </c>
      <c r="J14" s="16"/>
    </row>
    <row r="15" ht="20.05" customHeight="1">
      <c r="A15" s="30">
        <v>2021</v>
      </c>
      <c r="B15" s="17">
        <v>991</v>
      </c>
      <c r="C15" s="14"/>
      <c r="D15" s="18">
        <v>164</v>
      </c>
      <c r="E15" s="18">
        <v>31.75</v>
      </c>
      <c r="F15" s="18">
        <v>230</v>
      </c>
      <c r="G15" s="16">
        <f>B15/B14-1</f>
        <v>-0.06597549481621109</v>
      </c>
      <c r="H15" s="12">
        <f>(D15+E15+F15-B15)/B15</f>
        <v>-0.570383451059536</v>
      </c>
      <c r="I15" s="16">
        <f>AVERAGE(H12:H15)</f>
        <v>-0.561122886452686</v>
      </c>
      <c r="J15" s="16"/>
    </row>
    <row r="16" ht="20.05" customHeight="1">
      <c r="A16" s="29"/>
      <c r="B16" s="13">
        <f>1960-B15</f>
        <v>969</v>
      </c>
      <c r="C16" s="18"/>
      <c r="D16" s="18">
        <f>267-D15</f>
        <v>103</v>
      </c>
      <c r="E16" s="18">
        <v>31.75</v>
      </c>
      <c r="F16" s="18">
        <f>487-F15</f>
        <v>257</v>
      </c>
      <c r="G16" s="16">
        <f>B16/B15-1</f>
        <v>-0.0221997981836529</v>
      </c>
      <c r="H16" s="12">
        <f>(D16+E16+F16-B16)/B16</f>
        <v>-0.595717234262126</v>
      </c>
      <c r="I16" s="16">
        <f>AVERAGE(H13:H16)</f>
        <v>-0.575923047541951</v>
      </c>
      <c r="J16" s="16"/>
    </row>
    <row r="17" ht="20.05" customHeight="1">
      <c r="A17" s="29"/>
      <c r="B17" s="13">
        <f>2969-B16-B15</f>
        <v>1009</v>
      </c>
      <c r="C17" s="18"/>
      <c r="D17" s="18">
        <f>341-D16-D15</f>
        <v>74</v>
      </c>
      <c r="E17" s="18">
        <v>31.75</v>
      </c>
      <c r="F17" s="18">
        <f>796-F16-F15</f>
        <v>309</v>
      </c>
      <c r="G17" s="16">
        <f>B17/B16-1</f>
        <v>0.0412796697626419</v>
      </c>
      <c r="H17" s="12">
        <f>(D17+E17+F17-B17)/B17</f>
        <v>-0.588949454905847</v>
      </c>
      <c r="I17" s="16">
        <f>AVERAGE(H14:H17)</f>
        <v>-0.578017954472523</v>
      </c>
      <c r="J17" s="16"/>
    </row>
    <row r="18" ht="20.05" customHeight="1">
      <c r="A18" s="29"/>
      <c r="B18" s="13">
        <f>4123-B17-B16-B15</f>
        <v>1154</v>
      </c>
      <c r="C18" s="18"/>
      <c r="D18" s="18">
        <f>471-D17-D16-D15</f>
        <v>130</v>
      </c>
      <c r="E18" s="18">
        <v>31.75</v>
      </c>
      <c r="F18" s="18">
        <f>1131-F17-F16-F15</f>
        <v>335</v>
      </c>
      <c r="G18" s="16">
        <f>B18/B17-1</f>
        <v>0.143706640237859</v>
      </c>
      <c r="H18" s="12">
        <f>(D18+E18+F18-B18)/B18</f>
        <v>-0.569540727902946</v>
      </c>
      <c r="I18" s="16">
        <f>AVERAGE(H15:H18)</f>
        <v>-0.581147717032614</v>
      </c>
      <c r="J18" s="16"/>
    </row>
    <row r="19" ht="20.05" customHeight="1">
      <c r="A19" s="30">
        <v>2022</v>
      </c>
      <c r="B19" s="13">
        <v>1173</v>
      </c>
      <c r="C19" s="14">
        <v>1142.46</v>
      </c>
      <c r="D19" s="18">
        <v>97</v>
      </c>
      <c r="E19" s="18">
        <v>35</v>
      </c>
      <c r="F19" s="18">
        <v>396</v>
      </c>
      <c r="G19" s="16">
        <f>B19/B18-1</f>
        <v>0.0164644714038128</v>
      </c>
      <c r="H19" s="12">
        <f>(D19+E19+F19-B19)/B19</f>
        <v>-0.549872122762148</v>
      </c>
      <c r="I19" s="16">
        <f>AVERAGE(H16:H19)</f>
        <v>-0.5760198849582669</v>
      </c>
      <c r="J19" s="16">
        <v>-0.581147717032614</v>
      </c>
    </row>
    <row r="20" ht="20.05" customHeight="1">
      <c r="A20" s="29"/>
      <c r="B20" s="13"/>
      <c r="C20" s="14">
        <f>'Model'!C6</f>
        <v>1196.46</v>
      </c>
      <c r="D20" s="18"/>
      <c r="E20" s="18"/>
      <c r="F20" s="18"/>
      <c r="G20" s="12"/>
      <c r="H20" s="12"/>
      <c r="I20" s="21"/>
      <c r="J20" s="16">
        <f>'Model'!C7</f>
        <v>-0.549872122762148</v>
      </c>
    </row>
    <row r="21" ht="20.05" customHeight="1">
      <c r="A21" s="29"/>
      <c r="B21" s="13"/>
      <c r="C21" s="14">
        <f>'Model'!D6</f>
        <v>1256.283</v>
      </c>
      <c r="D21" s="18"/>
      <c r="E21" s="18"/>
      <c r="F21" s="18"/>
      <c r="G21" s="12"/>
      <c r="H21" s="12"/>
      <c r="I21" s="16"/>
      <c r="J21" s="16"/>
    </row>
    <row r="22" ht="20.05" customHeight="1">
      <c r="A22" s="29"/>
      <c r="B22" s="13"/>
      <c r="C22" s="14">
        <f>'Model'!E6</f>
        <v>1331.65998</v>
      </c>
      <c r="D22" s="18">
        <f>B19</f>
        <v>1173</v>
      </c>
      <c r="E22" s="18">
        <f>C19</f>
        <v>1142.46</v>
      </c>
      <c r="F22" s="18"/>
      <c r="G22" s="12"/>
      <c r="H22" s="12"/>
      <c r="I22" s="16"/>
      <c r="J22" s="16"/>
    </row>
    <row r="23" ht="20.05" customHeight="1">
      <c r="A23" s="30">
        <v>2023</v>
      </c>
      <c r="B23" s="13"/>
      <c r="C23" s="14">
        <f>'Model'!F6</f>
        <v>1318.3433802</v>
      </c>
      <c r="D23" s="18"/>
      <c r="E23" s="18"/>
      <c r="F23" s="18"/>
      <c r="G23" s="12"/>
      <c r="H23" s="12"/>
      <c r="I23" s="16"/>
      <c r="J23" s="16"/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1406" style="31" customWidth="1"/>
    <col min="2" max="14" width="10.2578" style="31" customWidth="1"/>
    <col min="15" max="16384" width="16.3516" style="31" customWidth="1"/>
  </cols>
  <sheetData>
    <row r="1" ht="21.1" customHeight="1"/>
    <row r="2" ht="27.65" customHeight="1">
      <c r="B2" t="s" s="2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45</v>
      </c>
      <c r="D3" t="s" s="5">
        <v>8</v>
      </c>
      <c r="E3" t="s" s="5">
        <v>9</v>
      </c>
      <c r="F3" t="s" s="5">
        <v>11</v>
      </c>
      <c r="G3" t="s" s="5">
        <v>14</v>
      </c>
      <c r="H3" t="s" s="5">
        <v>10</v>
      </c>
      <c r="I3" t="s" s="5">
        <v>46</v>
      </c>
      <c r="J3" t="s" s="5">
        <v>3</v>
      </c>
      <c r="K3" t="s" s="5">
        <v>34</v>
      </c>
      <c r="L3" t="s" s="5">
        <v>29</v>
      </c>
      <c r="M3" t="s" s="5">
        <v>34</v>
      </c>
      <c r="N3" s="32"/>
    </row>
    <row r="4" ht="20.25" customHeight="1">
      <c r="B4" s="24">
        <v>2018</v>
      </c>
      <c r="C4" s="33">
        <v>4511</v>
      </c>
      <c r="D4" s="27">
        <v>-541</v>
      </c>
      <c r="E4" s="27">
        <v>-37</v>
      </c>
      <c r="F4" s="27">
        <v>926</v>
      </c>
      <c r="G4" s="27"/>
      <c r="H4" s="27">
        <f>F4+G4</f>
        <v>926</v>
      </c>
      <c r="I4" s="27">
        <f>D4+E4</f>
        <v>-578</v>
      </c>
      <c r="J4" s="27">
        <f>AVERAGE(I4:I4)</f>
        <v>-578</v>
      </c>
      <c r="K4" s="27"/>
      <c r="L4" s="27">
        <f>-(F4+G4)</f>
        <v>-926</v>
      </c>
      <c r="M4" s="27"/>
      <c r="N4" s="27">
        <v>1</v>
      </c>
    </row>
    <row r="5" ht="20.05" customHeight="1">
      <c r="B5" s="29"/>
      <c r="C5" s="17">
        <f>9058-C4</f>
        <v>4547</v>
      </c>
      <c r="D5" s="18">
        <f>-1280-D4</f>
        <v>-739</v>
      </c>
      <c r="E5" s="18">
        <f>-59-E4</f>
        <v>-22</v>
      </c>
      <c r="F5" s="18">
        <f>1796-G5-F4</f>
        <v>1109</v>
      </c>
      <c r="G5" s="18">
        <v>-239</v>
      </c>
      <c r="H5" s="18">
        <f>F5+G5</f>
        <v>870</v>
      </c>
      <c r="I5" s="18">
        <f>D5+E5</f>
        <v>-761</v>
      </c>
      <c r="J5" s="18">
        <f>AVERAGE(I5:I5)</f>
        <v>-761</v>
      </c>
      <c r="K5" s="18"/>
      <c r="L5" s="18">
        <f>-(F5+G5)+L4</f>
        <v>-1796</v>
      </c>
      <c r="M5" s="18"/>
      <c r="N5" s="18">
        <f>1+N4</f>
        <v>2</v>
      </c>
    </row>
    <row r="6" ht="20.05" customHeight="1">
      <c r="B6" s="29"/>
      <c r="C6" s="17">
        <f>13999-C5-C4</f>
        <v>4941</v>
      </c>
      <c r="D6" s="18">
        <f>-1304-D5-D4</f>
        <v>-24</v>
      </c>
      <c r="E6" s="18">
        <f>-80-E5-E4</f>
        <v>-21</v>
      </c>
      <c r="F6" s="18">
        <f>1657-G5-F5-F4</f>
        <v>-139</v>
      </c>
      <c r="G6" s="18"/>
      <c r="H6" s="18">
        <f>F6+G6</f>
        <v>-139</v>
      </c>
      <c r="I6" s="18">
        <f>D6+E6</f>
        <v>-45</v>
      </c>
      <c r="J6" s="18">
        <f>AVERAGE(I6:I6)</f>
        <v>-45</v>
      </c>
      <c r="K6" s="18"/>
      <c r="L6" s="18">
        <f>-(F6+G6)+L5</f>
        <v>-1657</v>
      </c>
      <c r="M6" s="18"/>
      <c r="N6" s="18">
        <f>1+N5</f>
        <v>3</v>
      </c>
    </row>
    <row r="7" ht="20.05" customHeight="1">
      <c r="B7" s="29"/>
      <c r="C7" s="17">
        <f>19344-C6-C5-C4</f>
        <v>5345</v>
      </c>
      <c r="D7" s="18">
        <f>-367-D6-D5-D4</f>
        <v>937</v>
      </c>
      <c r="E7" s="18">
        <f>-158-E6-E5-E4</f>
        <v>-78</v>
      </c>
      <c r="F7" s="18">
        <f>1055-G7-G6-G5-F6-F5-F4</f>
        <v>-602</v>
      </c>
      <c r="G7" s="18"/>
      <c r="H7" s="18">
        <f>F7+G7</f>
        <v>-602</v>
      </c>
      <c r="I7" s="18">
        <f>D7+E7</f>
        <v>859</v>
      </c>
      <c r="J7" s="18">
        <f>AVERAGE(I7:I7)</f>
        <v>859</v>
      </c>
      <c r="K7" s="18"/>
      <c r="L7" s="18">
        <f>-(F7+G7)+L6</f>
        <v>-1055</v>
      </c>
      <c r="M7" s="18"/>
      <c r="N7" s="18">
        <f>1+N6</f>
        <v>4</v>
      </c>
    </row>
    <row r="8" ht="20.05" customHeight="1">
      <c r="B8" s="30">
        <v>2019</v>
      </c>
      <c r="C8" s="17">
        <f>4911+206+19+24</f>
        <v>5160</v>
      </c>
      <c r="D8" s="18">
        <v>784.5</v>
      </c>
      <c r="E8" s="18">
        <v>-18.7</v>
      </c>
      <c r="F8" s="18">
        <v>-881</v>
      </c>
      <c r="G8" s="18"/>
      <c r="H8" s="18">
        <f>F8+G8</f>
        <v>-881</v>
      </c>
      <c r="I8" s="18">
        <f>D8+E8</f>
        <v>765.8</v>
      </c>
      <c r="J8" s="18">
        <f>AVERAGE(I8:I8)</f>
        <v>765.8</v>
      </c>
      <c r="K8" s="18"/>
      <c r="L8" s="18">
        <f>-(F8+G8)+L7</f>
        <v>-174</v>
      </c>
      <c r="M8" s="18"/>
      <c r="N8" s="18">
        <f>1+N7</f>
        <v>5</v>
      </c>
    </row>
    <row r="9" ht="20.05" customHeight="1">
      <c r="B9" s="29"/>
      <c r="C9" s="17">
        <f>10513-C8</f>
        <v>5353</v>
      </c>
      <c r="D9" s="18">
        <f>1391-D8</f>
        <v>606.5</v>
      </c>
      <c r="E9" s="18">
        <f>-40-E8</f>
        <v>-21.3</v>
      </c>
      <c r="F9" s="18">
        <f>-1350-G9-F8</f>
        <v>264</v>
      </c>
      <c r="G9" s="18">
        <v>-733</v>
      </c>
      <c r="H9" s="18">
        <f>F9+G9</f>
        <v>-469</v>
      </c>
      <c r="I9" s="18">
        <f>D9+E9</f>
        <v>585.2</v>
      </c>
      <c r="J9" s="18">
        <f>AVERAGE(I8:I9)</f>
        <v>675.5</v>
      </c>
      <c r="K9" s="18"/>
      <c r="L9" s="18">
        <f>-(F9+G9)+L8</f>
        <v>295</v>
      </c>
      <c r="M9" s="18"/>
      <c r="N9" s="18">
        <f>1+N8</f>
        <v>6</v>
      </c>
    </row>
    <row r="10" ht="20.05" customHeight="1">
      <c r="B10" s="29"/>
      <c r="C10" s="17">
        <f>15848-C9-C8</f>
        <v>5335</v>
      </c>
      <c r="D10" s="18">
        <f>1625-D9-D8</f>
        <v>234</v>
      </c>
      <c r="E10" s="18">
        <f>-65-E9-E8</f>
        <v>-25</v>
      </c>
      <c r="F10" s="18">
        <f>-1402-G10-G9-F9-F8</f>
        <v>-52</v>
      </c>
      <c r="G10" s="18"/>
      <c r="H10" s="18">
        <f>F10+G10</f>
        <v>-52</v>
      </c>
      <c r="I10" s="18">
        <f>D10+E10</f>
        <v>209</v>
      </c>
      <c r="J10" s="18">
        <f>AVERAGE(I8:I10)</f>
        <v>520</v>
      </c>
      <c r="K10" s="18"/>
      <c r="L10" s="18">
        <f>-(F10+G10)+L9</f>
        <v>347</v>
      </c>
      <c r="M10" s="18"/>
      <c r="N10" s="18">
        <f>1+N9</f>
        <v>7</v>
      </c>
    </row>
    <row r="11" ht="20.05" customHeight="1">
      <c r="B11" s="29"/>
      <c r="C11" s="17">
        <f>21284-C10-C9-C8</f>
        <v>5436</v>
      </c>
      <c r="D11" s="18">
        <f>1200-D10-D9-D8</f>
        <v>-425</v>
      </c>
      <c r="E11" s="18">
        <f>-88.7-E10-E9-E8</f>
        <v>-23.7</v>
      </c>
      <c r="F11" s="18">
        <f>-1207-G11-G10-G9-F10-F9-F8</f>
        <v>195</v>
      </c>
      <c r="G11" s="18">
        <v>0</v>
      </c>
      <c r="H11" s="18">
        <f>F11+G11</f>
        <v>195</v>
      </c>
      <c r="I11" s="18">
        <f>D11+E11</f>
        <v>-448.7</v>
      </c>
      <c r="J11" s="18">
        <f>AVERAGE(I8:I11)</f>
        <v>277.825</v>
      </c>
      <c r="K11" s="18"/>
      <c r="L11" s="18">
        <f>-(F11+G11)+L10</f>
        <v>152</v>
      </c>
      <c r="M11" s="18"/>
      <c r="N11" s="18">
        <f>1+N10</f>
        <v>8</v>
      </c>
    </row>
    <row r="12" ht="20.05" customHeight="1">
      <c r="B12" s="30">
        <v>2020</v>
      </c>
      <c r="C12" s="17">
        <v>5233</v>
      </c>
      <c r="D12" s="18">
        <v>-232.5</v>
      </c>
      <c r="E12" s="18">
        <v>-31.9</v>
      </c>
      <c r="F12" s="18">
        <v>184</v>
      </c>
      <c r="G12" s="18"/>
      <c r="H12" s="18">
        <f>F12+G12</f>
        <v>184</v>
      </c>
      <c r="I12" s="18">
        <f>D12+E12</f>
        <v>-264.4</v>
      </c>
      <c r="J12" s="18">
        <f>AVERAGE(I9:I12)</f>
        <v>20.275</v>
      </c>
      <c r="K12" s="18"/>
      <c r="L12" s="18">
        <f>-(F12+G12)+L11</f>
        <v>-32</v>
      </c>
      <c r="M12" s="18"/>
      <c r="N12" s="18">
        <f>1+N11</f>
        <v>9</v>
      </c>
    </row>
    <row r="13" ht="20.05" customHeight="1">
      <c r="B13" s="29"/>
      <c r="C13" s="17">
        <f>8537-C12</f>
        <v>3304</v>
      </c>
      <c r="D13" s="18">
        <f>2025.7-D12</f>
        <v>2258.2</v>
      </c>
      <c r="E13" s="18">
        <f>-50-E12</f>
        <v>-18.1</v>
      </c>
      <c r="F13" s="18">
        <f>-1295.7-F12</f>
        <v>-1479.7</v>
      </c>
      <c r="G13" s="18"/>
      <c r="H13" s="18">
        <f>F13+G13</f>
        <v>-1479.7</v>
      </c>
      <c r="I13" s="18">
        <f>D13+E13</f>
        <v>2240.1</v>
      </c>
      <c r="J13" s="18">
        <f>AVERAGE(I10:I13)</f>
        <v>434</v>
      </c>
      <c r="K13" s="18"/>
      <c r="L13" s="18">
        <f>-(F13+G13)+L12</f>
        <v>1447.7</v>
      </c>
      <c r="M13" s="18"/>
      <c r="N13" s="18">
        <f>1+N12</f>
        <v>10</v>
      </c>
    </row>
    <row r="14" ht="20.05" customHeight="1">
      <c r="B14" s="29"/>
      <c r="C14" s="17">
        <f>12314-C13-C12</f>
        <v>3777</v>
      </c>
      <c r="D14" s="18">
        <f>3694.5-D13-D12</f>
        <v>1668.8</v>
      </c>
      <c r="E14" s="18">
        <f>-54.8-E13-E12</f>
        <v>-4.8</v>
      </c>
      <c r="F14" s="18">
        <f>-2241-G14-F13-F12</f>
        <v>-765.3</v>
      </c>
      <c r="G14" s="18">
        <v>-180</v>
      </c>
      <c r="H14" s="18">
        <f>F14+G14</f>
        <v>-945.3</v>
      </c>
      <c r="I14" s="18">
        <f>D14+E14</f>
        <v>1664</v>
      </c>
      <c r="J14" s="18">
        <f>AVERAGE(I11:I14)</f>
        <v>797.75</v>
      </c>
      <c r="K14" s="18"/>
      <c r="L14" s="18">
        <f>-(F14+G14)+L13</f>
        <v>2393</v>
      </c>
      <c r="M14" s="18"/>
      <c r="N14" s="18">
        <f>1+N13</f>
        <v>11</v>
      </c>
    </row>
    <row r="15" ht="20.05" customHeight="1">
      <c r="B15" s="29"/>
      <c r="C15" s="17">
        <f>16213-C14-C13-C12</f>
        <v>3899</v>
      </c>
      <c r="D15" s="18">
        <f>4746-D14-D13-D12</f>
        <v>1051.5</v>
      </c>
      <c r="E15" s="18">
        <f>-84-E14-E13-E12</f>
        <v>-29.2</v>
      </c>
      <c r="F15" s="18">
        <f>-3907-G15-G14-F14-F13-F12</f>
        <v>-1666</v>
      </c>
      <c r="G15" s="18">
        <v>0</v>
      </c>
      <c r="H15" s="18">
        <f>F15+G15</f>
        <v>-1666</v>
      </c>
      <c r="I15" s="18">
        <f>D15+E15</f>
        <v>1022.3</v>
      </c>
      <c r="J15" s="18">
        <f>AVERAGE(I12:I15)</f>
        <v>1165.5</v>
      </c>
      <c r="K15" s="18"/>
      <c r="L15" s="18">
        <f>-(F15+G15)+L14</f>
        <v>4059</v>
      </c>
      <c r="M15" s="18"/>
      <c r="N15" s="18">
        <f>1+N14</f>
        <v>12</v>
      </c>
    </row>
    <row r="16" ht="20.05" customHeight="1">
      <c r="B16" s="30">
        <v>2021</v>
      </c>
      <c r="C16" s="17">
        <v>4207</v>
      </c>
      <c r="D16" s="18">
        <v>619</v>
      </c>
      <c r="E16" s="18">
        <v>-13</v>
      </c>
      <c r="F16" s="18">
        <v>-1409</v>
      </c>
      <c r="G16" s="18"/>
      <c r="H16" s="18">
        <f>F16+G16</f>
        <v>-1409</v>
      </c>
      <c r="I16" s="18">
        <f>D16+E16</f>
        <v>606</v>
      </c>
      <c r="J16" s="18">
        <f>AVERAGE(I13:I16)</f>
        <v>1383.1</v>
      </c>
      <c r="K16" s="18"/>
      <c r="L16" s="18">
        <f>-(F16+G16)+L15</f>
        <v>5468</v>
      </c>
      <c r="M16" s="18"/>
      <c r="N16" s="18">
        <f>1+N15</f>
        <v>13</v>
      </c>
    </row>
    <row r="17" ht="20.05" customHeight="1">
      <c r="B17" s="29"/>
      <c r="C17" s="17">
        <f>8161-C16</f>
        <v>3954</v>
      </c>
      <c r="D17" s="18">
        <f>726-D16</f>
        <v>107</v>
      </c>
      <c r="E17" s="18">
        <f>-29-E16</f>
        <v>-16</v>
      </c>
      <c r="F17" s="18">
        <f>-1496-G17-F16</f>
        <v>182</v>
      </c>
      <c r="G17" s="18">
        <v>-269</v>
      </c>
      <c r="H17" s="18">
        <f>F17+G17</f>
        <v>-87</v>
      </c>
      <c r="I17" s="18">
        <f>D17+E17</f>
        <v>91</v>
      </c>
      <c r="J17" s="18">
        <f>AVERAGE(I14:I17)</f>
        <v>845.825</v>
      </c>
      <c r="K17" s="18"/>
      <c r="L17" s="18">
        <f>-(F17+G17)+L16</f>
        <v>5555</v>
      </c>
      <c r="M17" s="18"/>
      <c r="N17" s="18">
        <f>1+N16</f>
        <v>14</v>
      </c>
    </row>
    <row r="18" ht="20.05" customHeight="1">
      <c r="B18" s="29"/>
      <c r="C18" s="17">
        <f>12216-C17-C16</f>
        <v>4055</v>
      </c>
      <c r="D18" s="18">
        <f>917-D17-D16</f>
        <v>191</v>
      </c>
      <c r="E18" s="18">
        <f>-68-E17-E16</f>
        <v>-39</v>
      </c>
      <c r="F18" s="18">
        <f>-1438-G18-G17-F17-F16</f>
        <v>58</v>
      </c>
      <c r="G18" s="18">
        <v>0</v>
      </c>
      <c r="H18" s="18">
        <f>F18+G18</f>
        <v>58</v>
      </c>
      <c r="I18" s="18">
        <f>D18+E18</f>
        <v>152</v>
      </c>
      <c r="J18" s="18">
        <f>AVERAGE(I15:I18)</f>
        <v>467.825</v>
      </c>
      <c r="K18" s="18"/>
      <c r="L18" s="18">
        <f>-(F18+G18)+L17</f>
        <v>5497</v>
      </c>
      <c r="M18" s="18"/>
      <c r="N18" s="18">
        <f>1+N17</f>
        <v>15</v>
      </c>
    </row>
    <row r="19" ht="20.05" customHeight="1">
      <c r="B19" s="29"/>
      <c r="C19" s="17">
        <f>16688-C18-C17-C16</f>
        <v>4472</v>
      </c>
      <c r="D19" s="18">
        <f>543-D18-D17-D16</f>
        <v>-374</v>
      </c>
      <c r="E19" s="18">
        <f>-108-E18-E17-E16</f>
        <v>-40</v>
      </c>
      <c r="F19" s="18">
        <f>-880-G19-G18-G17-F18-F17-F16</f>
        <v>663</v>
      </c>
      <c r="G19" s="18">
        <f>-374-G18-G17</f>
        <v>-105</v>
      </c>
      <c r="H19" s="18">
        <f>F19+G19</f>
        <v>558</v>
      </c>
      <c r="I19" s="18">
        <f>D19+E19</f>
        <v>-414</v>
      </c>
      <c r="J19" s="18">
        <f>AVERAGE(I16:I19)</f>
        <v>108.75</v>
      </c>
      <c r="K19" s="18"/>
      <c r="L19" s="18">
        <f>-(F19+G19)+L18</f>
        <v>4939</v>
      </c>
      <c r="M19" s="18"/>
      <c r="N19" s="18">
        <f>1+N18</f>
        <v>16</v>
      </c>
    </row>
    <row r="20" ht="20.05" customHeight="1">
      <c r="B20" s="30">
        <v>2022</v>
      </c>
      <c r="C20" s="17">
        <v>4837</v>
      </c>
      <c r="D20" s="18">
        <v>-704</v>
      </c>
      <c r="E20" s="18">
        <v>-29</v>
      </c>
      <c r="F20" s="18">
        <f>2188-1296</f>
        <v>892</v>
      </c>
      <c r="G20" s="18">
        <v>0</v>
      </c>
      <c r="H20" s="18">
        <v>392</v>
      </c>
      <c r="I20" s="18">
        <f>D20+E20</f>
        <v>-733</v>
      </c>
      <c r="J20" s="18">
        <f>AVERAGE(I17:I20)</f>
        <v>-226</v>
      </c>
      <c r="K20" s="18">
        <v>465.589574952307</v>
      </c>
      <c r="L20" s="18">
        <f>-(F20+G20)+L19</f>
        <v>4047</v>
      </c>
      <c r="M20" s="18">
        <v>6801.358299809230</v>
      </c>
      <c r="N20" s="18">
        <f>1+N19</f>
        <v>17</v>
      </c>
    </row>
    <row r="21" ht="20.05" customHeight="1">
      <c r="B21" s="29"/>
      <c r="C21" s="17"/>
      <c r="D21" s="18"/>
      <c r="E21" s="18"/>
      <c r="F21" s="18"/>
      <c r="G21" s="18"/>
      <c r="H21" s="18"/>
      <c r="I21" s="18"/>
      <c r="J21" s="21"/>
      <c r="K21" s="18">
        <f>SUM('Model'!C9:F10)/4</f>
        <v>545.2220968</v>
      </c>
      <c r="L21" s="21"/>
      <c r="M21" s="18">
        <f>'Model'!F34</f>
        <v>6227.8883872</v>
      </c>
      <c r="N21" s="18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7188" style="34" customWidth="1"/>
    <col min="2" max="11" width="9.85156" style="34" customWidth="1"/>
    <col min="12" max="16384" width="16.3516" style="34" customWidth="1"/>
  </cols>
  <sheetData>
    <row r="1" ht="12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24</v>
      </c>
      <c r="G3" t="s" s="5">
        <v>11</v>
      </c>
      <c r="H3" t="s" s="5">
        <v>14</v>
      </c>
      <c r="I3" t="s" s="5">
        <v>50</v>
      </c>
      <c r="J3" t="s" s="5">
        <v>51</v>
      </c>
      <c r="K3" t="s" s="5">
        <v>34</v>
      </c>
    </row>
    <row r="4" ht="20.25" customHeight="1">
      <c r="B4" s="24">
        <v>2018</v>
      </c>
      <c r="C4" s="33">
        <v>573</v>
      </c>
      <c r="D4" s="27">
        <v>17833</v>
      </c>
      <c r="E4" s="27">
        <f>D4-C4</f>
        <v>17260</v>
      </c>
      <c r="F4" s="27"/>
      <c r="G4" s="27">
        <v>12577</v>
      </c>
      <c r="H4" s="27">
        <f>D4-G4</f>
        <v>5256</v>
      </c>
      <c r="I4" s="27">
        <f>G4+H4-C4-E4</f>
        <v>0</v>
      </c>
      <c r="J4" s="27">
        <f>C4-G4</f>
        <v>-12004</v>
      </c>
      <c r="K4" s="27"/>
    </row>
    <row r="5" ht="20.05" customHeight="1">
      <c r="B5" s="29"/>
      <c r="C5" s="17">
        <v>682</v>
      </c>
      <c r="D5" s="18">
        <v>19001</v>
      </c>
      <c r="E5" s="18">
        <f>D5-C5</f>
        <v>18319</v>
      </c>
      <c r="F5" s="18"/>
      <c r="G5" s="18">
        <v>13593</v>
      </c>
      <c r="H5" s="18">
        <f>D5-G5</f>
        <v>5408</v>
      </c>
      <c r="I5" s="18">
        <f>G5+H5-C5-E5</f>
        <v>0</v>
      </c>
      <c r="J5" s="18">
        <f>C5-G5</f>
        <v>-12911</v>
      </c>
      <c r="K5" s="18"/>
    </row>
    <row r="6" ht="20.05" customHeight="1">
      <c r="B6" s="29"/>
      <c r="C6" s="17">
        <v>498</v>
      </c>
      <c r="D6" s="18">
        <v>19440</v>
      </c>
      <c r="E6" s="18">
        <f>D6-C6</f>
        <v>18942</v>
      </c>
      <c r="F6" s="18"/>
      <c r="G6" s="18">
        <v>13628</v>
      </c>
      <c r="H6" s="18">
        <f>D6-G6</f>
        <v>5812</v>
      </c>
      <c r="I6" s="18">
        <f>G6+H6-C6-E6</f>
        <v>0</v>
      </c>
      <c r="J6" s="18">
        <f>C6-G6</f>
        <v>-13130</v>
      </c>
      <c r="K6" s="18"/>
    </row>
    <row r="7" ht="20.05" customHeight="1">
      <c r="B7" s="29"/>
      <c r="C7" s="17">
        <v>755</v>
      </c>
      <c r="D7" s="18">
        <v>19117</v>
      </c>
      <c r="E7" s="18">
        <f>D7-C7</f>
        <v>18362</v>
      </c>
      <c r="F7" s="18"/>
      <c r="G7" s="18">
        <v>12914</v>
      </c>
      <c r="H7" s="18">
        <f>D7-G7</f>
        <v>6203</v>
      </c>
      <c r="I7" s="18">
        <f>G7+H7-C7-E7</f>
        <v>0</v>
      </c>
      <c r="J7" s="18">
        <f>C7-G7</f>
        <v>-12159</v>
      </c>
      <c r="K7" s="18"/>
    </row>
    <row r="8" ht="20.05" customHeight="1">
      <c r="B8" s="30">
        <v>2019</v>
      </c>
      <c r="C8" s="17">
        <v>640</v>
      </c>
      <c r="D8" s="18">
        <v>18462</v>
      </c>
      <c r="E8" s="18">
        <f>D8-C8</f>
        <v>17822</v>
      </c>
      <c r="F8" s="18"/>
      <c r="G8" s="18">
        <v>11934.6</v>
      </c>
      <c r="H8" s="18">
        <f>D8-G8</f>
        <v>6527.4</v>
      </c>
      <c r="I8" s="18">
        <f>G8+H8-C8-E8</f>
        <v>0</v>
      </c>
      <c r="J8" s="18">
        <f>C8-G8</f>
        <v>-11294.6</v>
      </c>
      <c r="K8" s="18"/>
    </row>
    <row r="9" ht="20.05" customHeight="1">
      <c r="B9" s="29"/>
      <c r="C9" s="17">
        <v>756</v>
      </c>
      <c r="D9" s="18">
        <v>18369</v>
      </c>
      <c r="E9" s="18">
        <f>D9-C9</f>
        <v>17613</v>
      </c>
      <c r="F9" s="18"/>
      <c r="G9" s="18">
        <v>12261</v>
      </c>
      <c r="H9" s="18">
        <f>D9-G9</f>
        <v>6108</v>
      </c>
      <c r="I9" s="18">
        <f>G9+H9-C9-E9</f>
        <v>0</v>
      </c>
      <c r="J9" s="18">
        <f>C9-G9</f>
        <v>-11505</v>
      </c>
      <c r="K9" s="18"/>
    </row>
    <row r="10" ht="20.05" customHeight="1">
      <c r="B10" s="29"/>
      <c r="C10" s="17">
        <v>913.5</v>
      </c>
      <c r="D10" s="18">
        <v>18694.5</v>
      </c>
      <c r="E10" s="18">
        <f>D10-C10</f>
        <v>17781</v>
      </c>
      <c r="F10" s="18"/>
      <c r="G10" s="18">
        <v>12193.6</v>
      </c>
      <c r="H10" s="18">
        <f>D10-G10</f>
        <v>6500.9</v>
      </c>
      <c r="I10" s="18">
        <f>G10+H10-C10-E10</f>
        <v>0</v>
      </c>
      <c r="J10" s="18">
        <f>C10-G10</f>
        <v>-11280.1</v>
      </c>
      <c r="K10" s="18"/>
    </row>
    <row r="11" ht="20.05" customHeight="1">
      <c r="B11" s="29"/>
      <c r="C11" s="17">
        <v>660</v>
      </c>
      <c r="D11" s="18">
        <v>19089.6</v>
      </c>
      <c r="E11" s="18">
        <f>D11-C11</f>
        <v>18429.6</v>
      </c>
      <c r="F11" s="18"/>
      <c r="G11" s="18">
        <v>13009.5</v>
      </c>
      <c r="H11" s="18">
        <f>D11-G11</f>
        <v>6080.1</v>
      </c>
      <c r="I11" s="18">
        <f>G11+H11-C11-E11</f>
        <v>0</v>
      </c>
      <c r="J11" s="18">
        <f>C11-G11</f>
        <v>-12349.5</v>
      </c>
      <c r="K11" s="18"/>
    </row>
    <row r="12" ht="20.05" customHeight="1">
      <c r="B12" s="30">
        <v>2020</v>
      </c>
      <c r="C12" s="17">
        <v>580</v>
      </c>
      <c r="D12" s="18">
        <v>19677.8</v>
      </c>
      <c r="E12" s="18">
        <f>D12-C12</f>
        <v>19097.8</v>
      </c>
      <c r="F12" s="18"/>
      <c r="G12" s="18">
        <v>13327</v>
      </c>
      <c r="H12" s="18">
        <f>D12-G12</f>
        <v>6350.8</v>
      </c>
      <c r="I12" s="18">
        <f>G12+H12-C12-E12</f>
        <v>0</v>
      </c>
      <c r="J12" s="18">
        <f>C12-G12</f>
        <v>-12747</v>
      </c>
      <c r="K12" s="18"/>
    </row>
    <row r="13" ht="20.05" customHeight="1">
      <c r="B13" s="29"/>
      <c r="C13" s="17">
        <v>1339.8</v>
      </c>
      <c r="D13" s="18">
        <v>17285</v>
      </c>
      <c r="E13" s="18">
        <f>D13-C13</f>
        <v>15945.2</v>
      </c>
      <c r="F13" s="18"/>
      <c r="G13" s="18">
        <v>11134.5</v>
      </c>
      <c r="H13" s="18">
        <f>D13-G13</f>
        <v>6150.5</v>
      </c>
      <c r="I13" s="18">
        <f>G13+H13-C13-E13</f>
        <v>0</v>
      </c>
      <c r="J13" s="18">
        <f>C13-G13</f>
        <v>-9794.700000000001</v>
      </c>
      <c r="K13" s="18"/>
    </row>
    <row r="14" ht="20.05" customHeight="1">
      <c r="B14" s="29"/>
      <c r="C14" s="17">
        <v>2059</v>
      </c>
      <c r="D14" s="18">
        <v>16743</v>
      </c>
      <c r="E14" s="18">
        <f>D14-C14</f>
        <v>14684</v>
      </c>
      <c r="F14" s="18"/>
      <c r="G14" s="18">
        <v>10445</v>
      </c>
      <c r="H14" s="18">
        <f>D14-G14</f>
        <v>6298</v>
      </c>
      <c r="I14" s="18">
        <f>G14+H14-C14-E14</f>
        <v>0</v>
      </c>
      <c r="J14" s="18">
        <f>C14-G14</f>
        <v>-8386</v>
      </c>
      <c r="K14" s="18"/>
    </row>
    <row r="15" ht="20.05" customHeight="1">
      <c r="B15" s="29"/>
      <c r="C15" s="17">
        <v>1415</v>
      </c>
      <c r="D15" s="18">
        <v>15201</v>
      </c>
      <c r="E15" s="18">
        <f>D15-C15</f>
        <v>13786</v>
      </c>
      <c r="F15" s="18"/>
      <c r="G15" s="18">
        <v>8594</v>
      </c>
      <c r="H15" s="18">
        <f>D15-G15</f>
        <v>6607</v>
      </c>
      <c r="I15" s="18">
        <f>G15+H15-C15-E15</f>
        <v>0</v>
      </c>
      <c r="J15" s="18">
        <f>C15-G15</f>
        <v>-7179</v>
      </c>
      <c r="K15" s="18"/>
    </row>
    <row r="16" ht="20.05" customHeight="1">
      <c r="B16" s="30">
        <v>2021</v>
      </c>
      <c r="C16" s="17">
        <v>611</v>
      </c>
      <c r="D16" s="18">
        <v>14178</v>
      </c>
      <c r="E16" s="18">
        <f>D16-C16</f>
        <v>13567</v>
      </c>
      <c r="F16" s="18"/>
      <c r="G16" s="18">
        <v>7311</v>
      </c>
      <c r="H16" s="18">
        <f>D16-G16</f>
        <v>6867</v>
      </c>
      <c r="I16" s="18">
        <f>G16+H16-C16-E16</f>
        <v>0</v>
      </c>
      <c r="J16" s="18">
        <f>C16-G16</f>
        <v>-6700</v>
      </c>
      <c r="K16" s="18"/>
    </row>
    <row r="17" ht="20.05" customHeight="1">
      <c r="B17" s="29"/>
      <c r="C17" s="17">
        <v>616</v>
      </c>
      <c r="D17" s="18">
        <v>14211</v>
      </c>
      <c r="E17" s="18">
        <f>D17-C17</f>
        <v>13595</v>
      </c>
      <c r="F17" s="18"/>
      <c r="G17" s="18">
        <v>7337</v>
      </c>
      <c r="H17" s="18">
        <f>D17-G17</f>
        <v>6874</v>
      </c>
      <c r="I17" s="18">
        <f>G17+H17-C17-E17</f>
        <v>0</v>
      </c>
      <c r="J17" s="18">
        <f>C17-G17</f>
        <v>-6721</v>
      </c>
      <c r="K17" s="18"/>
    </row>
    <row r="18" ht="20.05" customHeight="1">
      <c r="B18" s="29"/>
      <c r="C18" s="17">
        <v>825</v>
      </c>
      <c r="D18" s="18">
        <v>14645</v>
      </c>
      <c r="E18" s="18">
        <f>D18-C18</f>
        <v>13820</v>
      </c>
      <c r="F18" s="18"/>
      <c r="G18" s="18">
        <v>7455</v>
      </c>
      <c r="H18" s="18">
        <f>D18-G18</f>
        <v>7190</v>
      </c>
      <c r="I18" s="18">
        <f>G18+H18-C18-E18</f>
        <v>0</v>
      </c>
      <c r="J18" s="18">
        <f>C18-G18</f>
        <v>-6630</v>
      </c>
      <c r="K18" s="18"/>
    </row>
    <row r="19" ht="20.05" customHeight="1">
      <c r="B19" s="29"/>
      <c r="C19" s="17">
        <v>969</v>
      </c>
      <c r="D19" s="18">
        <v>15636</v>
      </c>
      <c r="E19" s="18">
        <f>D19-C19</f>
        <v>14667</v>
      </c>
      <c r="F19" s="18">
        <f>522+45+98</f>
        <v>665</v>
      </c>
      <c r="G19" s="18">
        <v>8206</v>
      </c>
      <c r="H19" s="18">
        <f>D19-G19</f>
        <v>7430</v>
      </c>
      <c r="I19" s="18">
        <f>G19+H19-C19-E19</f>
        <v>0</v>
      </c>
      <c r="J19" s="18">
        <f>C19-G19</f>
        <v>-7237</v>
      </c>
      <c r="K19" s="35"/>
    </row>
    <row r="20" ht="20.05" customHeight="1">
      <c r="B20" s="30">
        <v>2022</v>
      </c>
      <c r="C20" s="17">
        <f>C19+'Cashflow '!D20+'Cashflow '!E20+'Cashflow '!H20</f>
        <v>628</v>
      </c>
      <c r="D20" s="18">
        <v>16355</v>
      </c>
      <c r="E20" s="18">
        <f>D20-C20</f>
        <v>15727</v>
      </c>
      <c r="F20" s="18">
        <f>F19+'Sales'!E19</f>
        <v>700</v>
      </c>
      <c r="G20" s="18">
        <v>8530</v>
      </c>
      <c r="H20" s="18">
        <f>D20-G20</f>
        <v>7825</v>
      </c>
      <c r="I20" s="18">
        <f>G20+H20-C20-E20</f>
        <v>0</v>
      </c>
      <c r="J20" s="18">
        <f>C20-G20</f>
        <v>-7902</v>
      </c>
      <c r="K20" s="36">
        <v>-6084.549190133540</v>
      </c>
    </row>
    <row r="21" ht="20.05" customHeight="1">
      <c r="B21" s="29"/>
      <c r="C21" s="17"/>
      <c r="D21" s="18"/>
      <c r="E21" s="18"/>
      <c r="F21" s="18"/>
      <c r="G21" s="18"/>
      <c r="H21" s="18"/>
      <c r="I21" s="18"/>
      <c r="J21" s="18"/>
      <c r="K21" s="18">
        <f>'Model'!F32</f>
        <v>-6484.57812896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91406" style="37" customWidth="1"/>
    <col min="2" max="4" width="11.8906" style="37" customWidth="1"/>
    <col min="5" max="16384" width="16.3516" style="37" customWidth="1"/>
  </cols>
  <sheetData>
    <row r="1" ht="27.65" customHeight="1">
      <c r="A1" t="s" s="2">
        <v>52</v>
      </c>
      <c r="B1" s="2"/>
      <c r="C1" s="2"/>
      <c r="D1" s="2"/>
    </row>
    <row r="2" ht="20.25" customHeight="1">
      <c r="A2" t="s" s="38">
        <v>53</v>
      </c>
      <c r="B2" t="s" s="5">
        <v>54</v>
      </c>
      <c r="C2" t="s" s="5">
        <v>55</v>
      </c>
      <c r="D2" t="s" s="5">
        <v>56</v>
      </c>
    </row>
    <row r="3" ht="20.25" customHeight="1">
      <c r="A3" s="24">
        <v>2018</v>
      </c>
      <c r="B3" s="33">
        <v>800</v>
      </c>
      <c r="C3" s="8"/>
      <c r="D3" s="8"/>
    </row>
    <row r="4" ht="20.05" customHeight="1">
      <c r="A4" s="29"/>
      <c r="B4" s="17">
        <v>680</v>
      </c>
      <c r="C4" s="21"/>
      <c r="D4" s="21"/>
    </row>
    <row r="5" ht="20.05" customHeight="1">
      <c r="A5" s="29"/>
      <c r="B5" s="17">
        <v>615</v>
      </c>
      <c r="C5" s="21"/>
      <c r="D5" s="21"/>
    </row>
    <row r="6" ht="20.05" customHeight="1">
      <c r="A6" s="29"/>
      <c r="B6" s="17">
        <v>665</v>
      </c>
      <c r="C6" s="21"/>
      <c r="D6" s="21"/>
    </row>
    <row r="7" ht="20.05" customHeight="1">
      <c r="A7" s="30">
        <v>2019</v>
      </c>
      <c r="B7" s="17">
        <v>660</v>
      </c>
      <c r="C7" s="21"/>
      <c r="D7" s="21"/>
    </row>
    <row r="8" ht="20.05" customHeight="1">
      <c r="A8" s="29"/>
      <c r="B8" s="17">
        <v>600</v>
      </c>
      <c r="C8" s="21"/>
      <c r="D8" s="21"/>
    </row>
    <row r="9" ht="20.05" customHeight="1">
      <c r="A9" s="29"/>
      <c r="B9" s="17">
        <v>540</v>
      </c>
      <c r="C9" s="21"/>
      <c r="D9" s="21"/>
    </row>
    <row r="10" ht="20.05" customHeight="1">
      <c r="A10" s="29"/>
      <c r="B10" s="17">
        <v>560</v>
      </c>
      <c r="C10" s="21"/>
      <c r="D10" s="21"/>
    </row>
    <row r="11" ht="20.05" customHeight="1">
      <c r="A11" s="30">
        <v>2020</v>
      </c>
      <c r="B11" s="17">
        <v>240</v>
      </c>
      <c r="C11" s="21"/>
      <c r="D11" s="21"/>
    </row>
    <row r="12" ht="20.05" customHeight="1">
      <c r="A12" s="29"/>
      <c r="B12" s="17">
        <v>282</v>
      </c>
      <c r="C12" s="21"/>
      <c r="D12" s="21"/>
    </row>
    <row r="13" ht="20.05" customHeight="1">
      <c r="A13" s="29"/>
      <c r="B13" s="17">
        <v>406</v>
      </c>
      <c r="C13" s="21"/>
      <c r="D13" s="21"/>
    </row>
    <row r="14" ht="20.05" customHeight="1">
      <c r="A14" s="29"/>
      <c r="B14" s="17">
        <v>560</v>
      </c>
      <c r="C14" s="21"/>
      <c r="D14" s="21"/>
    </row>
    <row r="15" ht="20.05" customHeight="1">
      <c r="A15" s="30">
        <v>2021</v>
      </c>
      <c r="B15" s="17">
        <v>655</v>
      </c>
      <c r="C15" s="21"/>
      <c r="D15" s="21"/>
    </row>
    <row r="16" ht="20.05" customHeight="1">
      <c r="A16" s="29"/>
      <c r="B16" s="17">
        <v>890</v>
      </c>
      <c r="C16" s="21"/>
      <c r="D16" s="21"/>
    </row>
    <row r="17" ht="20.05" customHeight="1">
      <c r="A17" s="29"/>
      <c r="B17" s="17">
        <v>1005</v>
      </c>
      <c r="C17" s="21"/>
      <c r="D17" s="21"/>
    </row>
    <row r="18" ht="20.05" customHeight="1">
      <c r="A18" s="29"/>
      <c r="B18" s="17">
        <v>1175</v>
      </c>
      <c r="C18" s="21"/>
      <c r="D18" s="21"/>
    </row>
    <row r="19" ht="20.05" customHeight="1">
      <c r="A19" s="30">
        <v>2022</v>
      </c>
      <c r="B19" s="17">
        <v>1280</v>
      </c>
      <c r="C19" s="21"/>
      <c r="D19" s="21"/>
    </row>
    <row r="20" ht="20.05" customHeight="1">
      <c r="A20" s="29"/>
      <c r="B20" s="17">
        <v>1285</v>
      </c>
      <c r="C20" s="39">
        <v>1495</v>
      </c>
      <c r="D20" s="21"/>
    </row>
    <row r="21" ht="20.05" customHeight="1">
      <c r="A21" s="29"/>
      <c r="B21" s="17"/>
      <c r="C21" s="18">
        <f>'Model'!F45</f>
        <v>1748.861308580040</v>
      </c>
      <c r="D21" s="21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0.0312" style="40" customWidth="1"/>
    <col min="9" max="17" width="11.375" style="41" customWidth="1"/>
    <col min="18" max="16384" width="16.3516" style="41" customWidth="1"/>
  </cols>
  <sheetData>
    <row r="1" ht="27.65" customHeight="1">
      <c r="A1" t="s" s="2">
        <v>57</v>
      </c>
      <c r="B1" s="2"/>
      <c r="C1" s="2"/>
      <c r="D1" s="2"/>
      <c r="E1" s="2"/>
      <c r="F1" s="2"/>
      <c r="G1" s="2"/>
      <c r="H1" s="2"/>
    </row>
    <row r="2" ht="20.25" customHeight="1">
      <c r="A2" t="s" s="38">
        <v>1</v>
      </c>
      <c r="B2" t="s" s="5">
        <v>11</v>
      </c>
      <c r="C2" t="s" s="5">
        <v>14</v>
      </c>
      <c r="D2" t="s" s="5">
        <v>58</v>
      </c>
      <c r="E2" t="s" s="5">
        <v>11</v>
      </c>
      <c r="F2" t="s" s="5">
        <v>14</v>
      </c>
      <c r="G2" t="s" s="5">
        <v>58</v>
      </c>
      <c r="H2" s="4"/>
    </row>
    <row r="3" ht="20.25" customHeight="1">
      <c r="A3" s="24">
        <v>2000</v>
      </c>
      <c r="B3" s="33"/>
      <c r="C3" s="27"/>
      <c r="D3" s="27">
        <f>B3+C3</f>
        <v>0</v>
      </c>
      <c r="E3" s="27"/>
      <c r="F3" s="27"/>
      <c r="G3" s="27">
        <f>D3</f>
        <v>0</v>
      </c>
      <c r="H3" s="8"/>
    </row>
    <row r="4" ht="20.05" customHeight="1">
      <c r="A4" s="30">
        <f>1+$A3</f>
        <v>2001</v>
      </c>
      <c r="B4" s="17"/>
      <c r="C4" s="18"/>
      <c r="D4" s="18">
        <f>B4+C4</f>
        <v>0</v>
      </c>
      <c r="E4" s="18"/>
      <c r="F4" s="18"/>
      <c r="G4" s="18">
        <f>D4+G3</f>
        <v>0</v>
      </c>
      <c r="H4" s="21"/>
    </row>
    <row r="5" ht="20.05" customHeight="1">
      <c r="A5" s="30">
        <f>1+$A4</f>
        <v>2002</v>
      </c>
      <c r="B5" s="17"/>
      <c r="C5" s="18"/>
      <c r="D5" s="18">
        <f>B5+C5</f>
        <v>0</v>
      </c>
      <c r="E5" s="18"/>
      <c r="F5" s="18"/>
      <c r="G5" s="18">
        <f>D5+G4</f>
        <v>0</v>
      </c>
      <c r="H5" s="21"/>
    </row>
    <row r="6" ht="20.05" customHeight="1">
      <c r="A6" s="30">
        <f>1+$A5</f>
        <v>2003</v>
      </c>
      <c r="B6" s="17"/>
      <c r="C6" s="18"/>
      <c r="D6" s="18">
        <f>B6+C6</f>
        <v>0</v>
      </c>
      <c r="E6" s="18"/>
      <c r="F6" s="18"/>
      <c r="G6" s="18">
        <f>D6+G5</f>
        <v>0</v>
      </c>
      <c r="H6" s="21"/>
    </row>
    <row r="7" ht="20.05" customHeight="1">
      <c r="A7" s="30">
        <f>1+$A6</f>
        <v>2004</v>
      </c>
      <c r="B7" s="17"/>
      <c r="C7" s="18"/>
      <c r="D7" s="18">
        <f>B7+C7</f>
        <v>0</v>
      </c>
      <c r="E7" s="18"/>
      <c r="F7" s="18"/>
      <c r="G7" s="18">
        <f>D7+G6</f>
        <v>0</v>
      </c>
      <c r="H7" s="21"/>
    </row>
    <row r="8" ht="20.05" customHeight="1">
      <c r="A8" s="30">
        <f>1+$A7</f>
        <v>2005</v>
      </c>
      <c r="B8" s="17"/>
      <c r="C8" s="18"/>
      <c r="D8" s="18">
        <f>B8+C8</f>
        <v>0</v>
      </c>
      <c r="E8" s="18"/>
      <c r="F8" s="18"/>
      <c r="G8" s="18">
        <f>D8+G7</f>
        <v>0</v>
      </c>
      <c r="H8" s="21"/>
    </row>
    <row r="9" ht="20.05" customHeight="1">
      <c r="A9" s="30">
        <f>1+$A8</f>
        <v>2006</v>
      </c>
      <c r="B9" s="17">
        <f>218-150</f>
        <v>68</v>
      </c>
      <c r="C9" s="18">
        <v>-26</v>
      </c>
      <c r="D9" s="18">
        <f>B9+C9</f>
        <v>42</v>
      </c>
      <c r="E9" s="18">
        <f>B9+E8</f>
        <v>68</v>
      </c>
      <c r="F9" s="18">
        <f>C9+F8</f>
        <v>-26</v>
      </c>
      <c r="G9" s="18">
        <f>D9+G8</f>
        <v>42</v>
      </c>
      <c r="H9" s="21"/>
    </row>
    <row r="10" ht="20.05" customHeight="1">
      <c r="A10" s="30">
        <f>1+$A9</f>
        <v>2007</v>
      </c>
      <c r="B10" s="17">
        <f>950+200-282</f>
        <v>868</v>
      </c>
      <c r="C10" s="18">
        <v>-49</v>
      </c>
      <c r="D10" s="18">
        <f>B10+C10</f>
        <v>819</v>
      </c>
      <c r="E10" s="18">
        <f>B10+E9</f>
        <v>936</v>
      </c>
      <c r="F10" s="18">
        <f>C10+F9</f>
        <v>-75</v>
      </c>
      <c r="G10" s="18">
        <f>D10+G9</f>
        <v>861</v>
      </c>
      <c r="H10" s="21"/>
    </row>
    <row r="11" ht="20.05" customHeight="1">
      <c r="A11" s="30">
        <f>1+$A10</f>
        <v>2008</v>
      </c>
      <c r="B11" s="17"/>
      <c r="C11" s="18"/>
      <c r="D11" s="18">
        <f>B11+C11</f>
        <v>0</v>
      </c>
      <c r="E11" s="18">
        <f>B11+E10</f>
        <v>936</v>
      </c>
      <c r="F11" s="18">
        <f>C11+F10</f>
        <v>-75</v>
      </c>
      <c r="G11" s="18">
        <f>D11+G10</f>
        <v>861</v>
      </c>
      <c r="H11" s="21"/>
    </row>
    <row r="12" ht="20.05" customHeight="1">
      <c r="A12" s="30">
        <f>1+$A11</f>
        <v>2009</v>
      </c>
      <c r="B12" s="17">
        <f>-1351-C12</f>
        <v>-1260</v>
      </c>
      <c r="C12" s="18">
        <v>-91</v>
      </c>
      <c r="D12" s="18">
        <f>B12+C12</f>
        <v>-1351</v>
      </c>
      <c r="E12" s="18">
        <f>B12+E11</f>
        <v>-324</v>
      </c>
      <c r="F12" s="18">
        <f>C12+F11</f>
        <v>-166</v>
      </c>
      <c r="G12" s="18">
        <f>D12+G11</f>
        <v>-490</v>
      </c>
      <c r="H12" s="21"/>
    </row>
    <row r="13" ht="20.05" customHeight="1">
      <c r="A13" s="30">
        <f>1+$A12</f>
        <v>2010</v>
      </c>
      <c r="B13" s="17">
        <f>1016-C13</f>
        <v>1118</v>
      </c>
      <c r="C13" s="18">
        <v>-102</v>
      </c>
      <c r="D13" s="18">
        <f>B13+C13</f>
        <v>1016</v>
      </c>
      <c r="E13" s="18">
        <f>B13+E12</f>
        <v>794</v>
      </c>
      <c r="F13" s="18">
        <f>C13+F12</f>
        <v>-268</v>
      </c>
      <c r="G13" s="18">
        <f>D13+G12</f>
        <v>526</v>
      </c>
      <c r="H13" s="21"/>
    </row>
    <row r="14" ht="20.05" customHeight="1">
      <c r="A14" s="30">
        <f>1+$A13</f>
        <v>2011</v>
      </c>
      <c r="B14" s="17">
        <v>1398</v>
      </c>
      <c r="C14" s="18"/>
      <c r="D14" s="18">
        <f>B14+C14</f>
        <v>1398</v>
      </c>
      <c r="E14" s="18">
        <f>B14+E13</f>
        <v>2192</v>
      </c>
      <c r="F14" s="18">
        <f>C14+F13</f>
        <v>-268</v>
      </c>
      <c r="G14" s="18">
        <f>D14+G13</f>
        <v>1924</v>
      </c>
      <c r="H14" s="21"/>
    </row>
    <row r="15" ht="20.05" customHeight="1">
      <c r="A15" s="30">
        <f>1+$A14</f>
        <v>2012</v>
      </c>
      <c r="B15" s="17">
        <v>1270</v>
      </c>
      <c r="C15" s="18"/>
      <c r="D15" s="18">
        <f>B15+C15</f>
        <v>1270</v>
      </c>
      <c r="E15" s="18">
        <f>B15+E14</f>
        <v>3462</v>
      </c>
      <c r="F15" s="18">
        <f>C15+F14</f>
        <v>-268</v>
      </c>
      <c r="G15" s="18">
        <f>D15+G14</f>
        <v>3194</v>
      </c>
      <c r="H15" s="21"/>
    </row>
    <row r="16" ht="20.05" customHeight="1">
      <c r="A16" s="30">
        <f>1+$A15</f>
        <v>2013</v>
      </c>
      <c r="B16" s="17">
        <v>1529</v>
      </c>
      <c r="C16" s="18">
        <v>13</v>
      </c>
      <c r="D16" s="18">
        <f>B16+C16</f>
        <v>1542</v>
      </c>
      <c r="E16" s="18">
        <f>B16+E15</f>
        <v>4991</v>
      </c>
      <c r="F16" s="18">
        <f>C16+F15</f>
        <v>-255</v>
      </c>
      <c r="G16" s="18">
        <f>D16+G15</f>
        <v>4736</v>
      </c>
      <c r="H16" s="21"/>
    </row>
    <row r="17" ht="20.05" customHeight="1">
      <c r="A17" s="30">
        <f>1+$A16</f>
        <v>2014</v>
      </c>
      <c r="B17" s="17">
        <f>810-C17</f>
        <v>954</v>
      </c>
      <c r="C17" s="18">
        <f>49-193</f>
        <v>-144</v>
      </c>
      <c r="D17" s="18">
        <f>B17+C17</f>
        <v>810</v>
      </c>
      <c r="E17" s="18">
        <f>B17+E16</f>
        <v>5945</v>
      </c>
      <c r="F17" s="18">
        <f>C17+F16</f>
        <v>-399</v>
      </c>
      <c r="G17" s="18">
        <f>D17+G16</f>
        <v>5546</v>
      </c>
      <c r="H17" s="21"/>
    </row>
    <row r="18" ht="20.05" customHeight="1">
      <c r="A18" s="30">
        <f>1+$A17</f>
        <v>2015</v>
      </c>
      <c r="B18" s="17">
        <f>415-C18</f>
        <v>898</v>
      </c>
      <c r="C18" s="18">
        <f>35-514-4</f>
        <v>-483</v>
      </c>
      <c r="D18" s="18">
        <f>B18+C18</f>
        <v>415</v>
      </c>
      <c r="E18" s="18">
        <f>B18+E17</f>
        <v>6843</v>
      </c>
      <c r="F18" s="18">
        <f>C18+F17</f>
        <v>-882</v>
      </c>
      <c r="G18" s="18">
        <f>D18+G17</f>
        <v>5961</v>
      </c>
      <c r="H18" s="21"/>
    </row>
    <row r="19" ht="20.05" customHeight="1">
      <c r="A19" s="30">
        <f>1+$A18</f>
        <v>2016</v>
      </c>
      <c r="B19" s="17">
        <f>-793-C19</f>
        <v>-282</v>
      </c>
      <c r="C19" s="18">
        <f>68-331-248</f>
        <v>-511</v>
      </c>
      <c r="D19" s="18">
        <f>B19+C19</f>
        <v>-793</v>
      </c>
      <c r="E19" s="18">
        <f>B19+E18</f>
        <v>6561</v>
      </c>
      <c r="F19" s="18">
        <f>C19+F18</f>
        <v>-1393</v>
      </c>
      <c r="G19" s="18">
        <f>D19+G18</f>
        <v>5168</v>
      </c>
      <c r="H19" s="21"/>
    </row>
    <row r="20" ht="20.05" customHeight="1">
      <c r="A20" s="30">
        <f>1+$A19</f>
        <v>2017</v>
      </c>
      <c r="B20" s="17">
        <f>2578-C20</f>
        <v>3087</v>
      </c>
      <c r="C20" s="18">
        <v>-509</v>
      </c>
      <c r="D20" s="18">
        <f>B20+C20</f>
        <v>2578</v>
      </c>
      <c r="E20" s="18">
        <f>B20+E19</f>
        <v>9648</v>
      </c>
      <c r="F20" s="18">
        <f>C20+F19</f>
        <v>-1902</v>
      </c>
      <c r="G20" s="18">
        <f>D20+G19</f>
        <v>7746</v>
      </c>
      <c r="H20" s="21"/>
    </row>
    <row r="21" ht="20.05" customHeight="1">
      <c r="A21" s="30">
        <f>1+$A20</f>
        <v>2018</v>
      </c>
      <c r="B21" s="17">
        <f>1055-C21</f>
        <v>1294</v>
      </c>
      <c r="C21" s="18">
        <v>-239</v>
      </c>
      <c r="D21" s="18">
        <f>B21+C21</f>
        <v>1055</v>
      </c>
      <c r="E21" s="18">
        <f>B21+E20</f>
        <v>10942</v>
      </c>
      <c r="F21" s="18">
        <f>C21+F20</f>
        <v>-2141</v>
      </c>
      <c r="G21" s="18">
        <f>D21+G20</f>
        <v>8801</v>
      </c>
      <c r="H21" s="21"/>
    </row>
    <row r="22" ht="20.05" customHeight="1">
      <c r="A22" s="30">
        <f>1+$A21</f>
        <v>2019</v>
      </c>
      <c r="B22" s="17">
        <f>-1206-C22</f>
        <v>-473</v>
      </c>
      <c r="C22" s="18">
        <v>-733</v>
      </c>
      <c r="D22" s="18">
        <f>B22+C22</f>
        <v>-1206</v>
      </c>
      <c r="E22" s="18">
        <f>B22+E21</f>
        <v>10469</v>
      </c>
      <c r="F22" s="18">
        <f>C22+F21</f>
        <v>-2874</v>
      </c>
      <c r="G22" s="18">
        <f>D22+G21</f>
        <v>7595</v>
      </c>
      <c r="H22" s="39">
        <f>AVERAGE(D9:D24)</f>
        <v>175.5</v>
      </c>
    </row>
    <row r="23" ht="20.05" customHeight="1">
      <c r="A23" s="30">
        <f>1+$A22</f>
        <v>2020</v>
      </c>
      <c r="B23" s="17">
        <f>-3907-C23</f>
        <v>-3727</v>
      </c>
      <c r="C23" s="18">
        <v>-180</v>
      </c>
      <c r="D23" s="18">
        <f>B23+C23</f>
        <v>-3907</v>
      </c>
      <c r="E23" s="18">
        <f>B23+E22</f>
        <v>6742</v>
      </c>
      <c r="F23" s="18">
        <f>C23+F22</f>
        <v>-3054</v>
      </c>
      <c r="G23" s="18">
        <f>D23+G22</f>
        <v>3688</v>
      </c>
      <c r="H23" s="39">
        <f>AVERAGE(D20:D24)</f>
        <v>-472</v>
      </c>
    </row>
    <row r="24" ht="20.05" customHeight="1">
      <c r="A24" s="30">
        <f>1+$A23</f>
        <v>2021</v>
      </c>
      <c r="B24" s="17">
        <f>SUM('Cashflow '!F16:F19)</f>
        <v>-506</v>
      </c>
      <c r="C24" s="18">
        <f>SUM('Cashflow '!G16:G19)</f>
        <v>-374</v>
      </c>
      <c r="D24" s="18">
        <f>B24+C24</f>
        <v>-880</v>
      </c>
      <c r="E24" s="18">
        <f>B24+E23</f>
        <v>6236</v>
      </c>
      <c r="F24" s="18">
        <f>C24+F23</f>
        <v>-3428</v>
      </c>
      <c r="G24" s="18">
        <f>D24+G23</f>
        <v>2808</v>
      </c>
      <c r="H24" s="39">
        <f>D24</f>
        <v>-880</v>
      </c>
    </row>
    <row r="26" ht="27.65" customHeight="1">
      <c r="I26" t="s" s="2">
        <v>59</v>
      </c>
      <c r="J26" s="2"/>
      <c r="K26" s="2"/>
      <c r="L26" s="2"/>
      <c r="M26" s="2"/>
      <c r="N26" s="2"/>
      <c r="O26" s="2"/>
      <c r="P26" s="2"/>
      <c r="Q26" s="2"/>
    </row>
    <row r="27" ht="20.25" customHeight="1">
      <c r="I27" s="4"/>
      <c r="J27" s="4"/>
      <c r="K27" s="4"/>
      <c r="L27" s="4"/>
      <c r="M27" s="4"/>
      <c r="N27" s="4"/>
      <c r="O27" s="4"/>
      <c r="P27" s="4"/>
      <c r="Q27" s="4"/>
    </row>
    <row r="28" ht="32.25" customHeight="1">
      <c r="I28" s="42"/>
      <c r="J28" t="s" s="43">
        <v>54</v>
      </c>
      <c r="K28" t="s" s="44">
        <v>60</v>
      </c>
      <c r="L28" s="8"/>
      <c r="M28" s="8"/>
      <c r="N28" s="8"/>
      <c r="O28" s="8"/>
      <c r="P28" s="8"/>
      <c r="Q28" s="8"/>
    </row>
    <row r="29" ht="20.05" customHeight="1">
      <c r="I29" s="29"/>
      <c r="J29" s="45">
        <v>44593</v>
      </c>
      <c r="K29" s="39">
        <v>18</v>
      </c>
      <c r="L29" s="39">
        <v>2022</v>
      </c>
      <c r="M29" s="21"/>
      <c r="N29" s="21"/>
      <c r="O29" s="21"/>
      <c r="P29" s="21"/>
      <c r="Q29" s="21"/>
    </row>
    <row r="30" ht="20.05" customHeight="1">
      <c r="I30" s="29"/>
      <c r="J30" t="s" s="46">
        <v>61</v>
      </c>
      <c r="K30" s="39">
        <f>$A9</f>
        <v>2006</v>
      </c>
      <c r="L30" s="21"/>
      <c r="M30" s="21"/>
      <c r="N30" s="21"/>
      <c r="O30" s="21"/>
      <c r="P30" s="21"/>
      <c r="Q30" s="21"/>
    </row>
    <row r="31" ht="32.05" customHeight="1">
      <c r="I31" s="29"/>
      <c r="J31" t="s" s="46">
        <v>62</v>
      </c>
      <c r="K31" s="39">
        <f>(2021-K30)*4</f>
        <v>60</v>
      </c>
      <c r="L31" s="21"/>
      <c r="M31" s="21"/>
      <c r="N31" s="21"/>
      <c r="O31" s="21"/>
      <c r="P31" s="21"/>
      <c r="Q31" s="21"/>
    </row>
    <row r="32" ht="20.05" customHeight="1">
      <c r="I32" s="29"/>
      <c r="J32" t="s" s="46">
        <v>11</v>
      </c>
      <c r="K32" s="21"/>
      <c r="L32" s="21"/>
      <c r="M32" s="21"/>
      <c r="N32" s="21"/>
      <c r="O32" s="21"/>
      <c r="P32" s="21"/>
      <c r="Q32" s="21"/>
    </row>
    <row r="33" ht="32.05" customHeight="1">
      <c r="I33" s="29"/>
      <c r="J33" t="s" s="46">
        <f>J28</f>
        <v>54</v>
      </c>
      <c r="K33" t="s" s="47">
        <v>63</v>
      </c>
      <c r="L33" t="s" s="47">
        <f>IF(O33&gt;0,"raised","paid")</f>
        <v>64</v>
      </c>
      <c r="M33" t="s" s="47">
        <v>65</v>
      </c>
      <c r="N33" t="s" s="47">
        <v>66</v>
      </c>
      <c r="O33" s="39">
        <f>AVERAGE(B9:B24)</f>
        <v>415.733333333333</v>
      </c>
      <c r="P33" t="s" s="47">
        <v>67</v>
      </c>
      <c r="Q33" t="s" s="47">
        <v>68</v>
      </c>
    </row>
    <row r="34" ht="32.05" customHeight="1">
      <c r="I34" s="29"/>
      <c r="J34" t="s" s="46">
        <v>69</v>
      </c>
      <c r="K34" t="s" s="47">
        <f>M33</f>
        <v>65</v>
      </c>
      <c r="L34" t="s" s="47">
        <v>70</v>
      </c>
      <c r="M34" t="s" s="47">
        <f>IF(O34&gt;0,"raised","paid")</f>
        <v>71</v>
      </c>
      <c r="N34" t="s" s="47">
        <v>66</v>
      </c>
      <c r="O34" s="39">
        <f>AVERAGE(B20:B24)</f>
        <v>-65</v>
      </c>
      <c r="P34" t="s" s="47">
        <v>67</v>
      </c>
      <c r="Q34" t="s" s="47">
        <v>68</v>
      </c>
    </row>
    <row r="35" ht="44.05" customHeight="1">
      <c r="I35" s="29"/>
      <c r="J35" t="s" s="46">
        <v>72</v>
      </c>
      <c r="K35" t="s" s="47">
        <v>73</v>
      </c>
      <c r="L35" s="39">
        <f>MAX(E9:E24)</f>
        <v>10942</v>
      </c>
      <c r="M35" t="s" s="47">
        <f>P34</f>
        <v>67</v>
      </c>
      <c r="N35" t="s" s="47">
        <v>74</v>
      </c>
      <c r="O35" s="39">
        <f>$A21</f>
        <v>2018</v>
      </c>
      <c r="P35" s="21"/>
      <c r="Q35" s="21"/>
    </row>
    <row r="36" ht="32.05" customHeight="1">
      <c r="I36" s="29"/>
      <c r="J36" t="s" s="46">
        <v>75</v>
      </c>
      <c r="K36" t="s" s="47">
        <f>K34</f>
        <v>65</v>
      </c>
      <c r="L36" t="s" s="47">
        <v>76</v>
      </c>
      <c r="M36" t="s" s="47">
        <v>77</v>
      </c>
      <c r="N36" t="s" s="47">
        <f>IF(P36&lt;L35,"down","up")</f>
        <v>78</v>
      </c>
      <c r="O36" t="s" s="47">
        <v>79</v>
      </c>
      <c r="P36" s="39">
        <f>E24</f>
        <v>6236</v>
      </c>
      <c r="Q36" t="s" s="47">
        <f>P34</f>
        <v>67</v>
      </c>
    </row>
    <row r="37" ht="20.05" customHeight="1">
      <c r="I37" s="29"/>
      <c r="J37" t="s" s="46">
        <v>14</v>
      </c>
      <c r="K37" s="21"/>
      <c r="L37" s="21"/>
      <c r="M37" s="21"/>
      <c r="N37" s="21"/>
      <c r="O37" s="21"/>
      <c r="P37" s="21"/>
      <c r="Q37" s="21"/>
    </row>
    <row r="38" ht="32.05" customHeight="1">
      <c r="I38" s="29"/>
      <c r="J38" t="s" s="46">
        <f>J33</f>
        <v>54</v>
      </c>
      <c r="K38" t="s" s="47">
        <v>63</v>
      </c>
      <c r="L38" t="s" s="47">
        <f>IF(O38&gt;0,"raised","paid")</f>
        <v>71</v>
      </c>
      <c r="M38" t="s" s="47">
        <v>80</v>
      </c>
      <c r="N38" t="s" s="47">
        <f>N33</f>
        <v>66</v>
      </c>
      <c r="O38" s="39">
        <f>AVERAGE(C9:C24)</f>
        <v>-244.857142857143</v>
      </c>
      <c r="P38" t="s" s="47">
        <f>P33</f>
        <v>67</v>
      </c>
      <c r="Q38" t="s" s="47">
        <f>Q33</f>
        <v>68</v>
      </c>
    </row>
    <row r="39" ht="32.05" customHeight="1">
      <c r="I39" s="29"/>
      <c r="J39" t="s" s="46">
        <v>69</v>
      </c>
      <c r="K39" t="s" s="47">
        <f>M38</f>
        <v>80</v>
      </c>
      <c r="L39" t="s" s="47">
        <v>81</v>
      </c>
      <c r="M39" t="s" s="47">
        <f>IF(O39&gt;0,"raised","paid")</f>
        <v>71</v>
      </c>
      <c r="N39" t="s" s="47">
        <v>66</v>
      </c>
      <c r="O39" s="39">
        <f>AVERAGE(C20:C24)</f>
        <v>-407</v>
      </c>
      <c r="P39" t="s" s="47">
        <v>67</v>
      </c>
      <c r="Q39" t="s" s="47">
        <v>68</v>
      </c>
    </row>
    <row r="40" ht="44.05" customHeight="1">
      <c r="I40" s="29"/>
      <c r="J40" t="s" s="46">
        <v>82</v>
      </c>
      <c r="K40" t="s" s="47">
        <v>73</v>
      </c>
      <c r="L40" s="39">
        <f>MAX(F9:F24)</f>
        <v>-26</v>
      </c>
      <c r="M40" t="s" s="47">
        <f>P39</f>
        <v>67</v>
      </c>
      <c r="N40" t="s" s="47">
        <v>74</v>
      </c>
      <c r="O40" s="39">
        <f>$A9</f>
        <v>2006</v>
      </c>
      <c r="P40" s="21"/>
      <c r="Q40" s="21"/>
    </row>
    <row r="41" ht="32.05" customHeight="1">
      <c r="I41" s="29"/>
      <c r="J41" t="s" s="46">
        <v>75</v>
      </c>
      <c r="K41" t="s" s="47">
        <f>K39</f>
        <v>80</v>
      </c>
      <c r="L41" t="s" s="47">
        <v>76</v>
      </c>
      <c r="M41" t="s" s="47">
        <v>83</v>
      </c>
      <c r="N41" t="s" s="47">
        <f>IF(P41&lt;L40,"down","up")</f>
        <v>78</v>
      </c>
      <c r="O41" t="s" s="47">
        <v>79</v>
      </c>
      <c r="P41" s="39">
        <f>F24</f>
        <v>-3428</v>
      </c>
      <c r="Q41" t="s" s="47">
        <f>P39</f>
        <v>67</v>
      </c>
    </row>
    <row r="42" ht="20.05" customHeight="1">
      <c r="I42" s="29"/>
      <c r="J42" t="s" s="46">
        <v>84</v>
      </c>
      <c r="K42" s="21"/>
      <c r="L42" s="21"/>
      <c r="M42" s="21"/>
      <c r="N42" s="21"/>
      <c r="O42" s="21"/>
      <c r="P42" s="21"/>
      <c r="Q42" s="21"/>
    </row>
    <row r="43" ht="32.05" customHeight="1">
      <c r="I43" s="29"/>
      <c r="J43" t="s" s="46">
        <f>J38</f>
        <v>54</v>
      </c>
      <c r="K43" t="s" s="47">
        <v>63</v>
      </c>
      <c r="L43" t="s" s="47">
        <f>IF(O43&gt;0,"raised","paid")</f>
        <v>64</v>
      </c>
      <c r="M43" t="s" s="47">
        <v>85</v>
      </c>
      <c r="N43" t="s" s="47">
        <f>N38</f>
        <v>66</v>
      </c>
      <c r="O43" s="39">
        <f>AVERAGE(D9:D24)</f>
        <v>175.5</v>
      </c>
      <c r="P43" t="s" s="47">
        <f>P38</f>
        <v>67</v>
      </c>
      <c r="Q43" t="s" s="47">
        <f>Q38</f>
        <v>68</v>
      </c>
    </row>
    <row r="44" ht="32.05" customHeight="1">
      <c r="I44" s="29"/>
      <c r="J44" t="s" s="46">
        <v>69</v>
      </c>
      <c r="K44" t="s" s="47">
        <f>M43</f>
        <v>85</v>
      </c>
      <c r="L44" t="s" s="47">
        <v>81</v>
      </c>
      <c r="M44" t="s" s="47">
        <f>IF(O44&gt;0,"raised","paid")</f>
        <v>71</v>
      </c>
      <c r="N44" t="s" s="47">
        <v>66</v>
      </c>
      <c r="O44" s="39">
        <f>AVERAGE(D20:D24)</f>
        <v>-472</v>
      </c>
      <c r="P44" t="s" s="47">
        <v>67</v>
      </c>
      <c r="Q44" t="s" s="47">
        <v>68</v>
      </c>
    </row>
    <row r="45" ht="44.05" customHeight="1">
      <c r="I45" s="29"/>
      <c r="J45" t="s" s="46">
        <v>82</v>
      </c>
      <c r="K45" t="s" s="47">
        <v>73</v>
      </c>
      <c r="L45" s="39">
        <f>MAX(G9:G24)</f>
        <v>8801</v>
      </c>
      <c r="M45" t="s" s="47">
        <f>P44</f>
        <v>67</v>
      </c>
      <c r="N45" t="s" s="47">
        <v>74</v>
      </c>
      <c r="O45" s="39">
        <f>$A21</f>
        <v>2018</v>
      </c>
      <c r="P45" s="21"/>
      <c r="Q45" s="21"/>
    </row>
    <row r="46" ht="32.05" customHeight="1">
      <c r="I46" s="29"/>
      <c r="J46" t="s" s="46">
        <v>75</v>
      </c>
      <c r="K46" t="s" s="47">
        <f>K44</f>
        <v>85</v>
      </c>
      <c r="L46" t="s" s="47">
        <v>76</v>
      </c>
      <c r="M46" t="s" s="47">
        <v>83</v>
      </c>
      <c r="N46" t="s" s="47">
        <f>IF(P46&lt;L45,"down","up")</f>
        <v>78</v>
      </c>
      <c r="O46" t="s" s="47">
        <v>79</v>
      </c>
      <c r="P46" s="18">
        <f>G24</f>
        <v>2808</v>
      </c>
      <c r="Q46" t="s" s="47">
        <f>P44</f>
        <v>67</v>
      </c>
    </row>
  </sheetData>
  <mergeCells count="2">
    <mergeCell ref="A1:H1"/>
    <mergeCell ref="I26:Q2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