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<sst xmlns="http://schemas.openxmlformats.org/spreadsheetml/2006/main" uniqueCount="57">
  <si>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</si>
  <si>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</si>
  <si>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</si>
  <si>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</si>
  <si>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</si>
  <si>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</si>
  <si>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</si>
  <si>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</si>
  <si>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</si>
  <si>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</si>
  <si>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</si>
  <si>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</si>
  <si>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</si>
  <si>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</si>
  <si>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</si>
  <si>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</si>
  <si>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</si>
  <si>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</si>
  <si>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</si>
  <si>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</si>
  <si>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Provisions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</si>
  <si>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</si>
  <si>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</si>
  <si>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</si>
  <si>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</si>
  <si>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</si>
  <si>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</si>
  <si>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</si>
  <si>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</si>
  <si>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</si>
  <si>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</si>
  <si>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</si>
  <si>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</si>
  <si>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</si>
  <si>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</si>
  <si>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</si>
  <si>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</si>
  <si>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</si>
  <si>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</si>
  <si>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</si>
  <si>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</si>
  <si>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</si>
  <si>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</si>
  <si>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 xml:space="preserve">Cash costs ratio </t>
  </si>
  <si>
    <t xml:space="preserve">Costs </t>
  </si>
  <si>
    <t>Cashflow</t>
  </si>
  <si>
    <t xml:space="preserve">Receipts </t>
  </si>
  <si>
    <t xml:space="preserve">Free cashflow </t>
  </si>
  <si>
    <t xml:space="preserve">Cash </t>
  </si>
  <si>
    <t>Assets</t>
  </si>
  <si>
    <t xml:space="preserve">Other assets </t>
  </si>
  <si>
    <t>Check</t>
  </si>
  <si>
    <t>Net cash</t>
  </si>
  <si>
    <t>Share price</t>
  </si>
  <si>
    <t>BFIN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</si>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</sst>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860698</xdr:colOff>
      <xdr:row>0</xdr:row>
      <xdr:rowOff>130089</xdr:rowOff>
    </xdr:from>
    <xdr:to>
      <xdr:col>14</xdr:col>
      <xdr:colOff>10428</xdr:colOff>
      <xdr:row>47</xdr:row>
      <xdr:rowOff>187058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40598" y="130089"/>
          <a:ext cx="9106531" cy="120279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062" style="1" customWidth="1"/>
    <col min="2" max="2" width="14.8281" style="1" customWidth="1"/>
    <col min="3" max="6" width="9" style="1" customWidth="1"/>
    <col min="7" max="16384" width="16.3516" style="1" customWidth="1"/>
  </cols>
  <sheetData>
    <row r="1" ht="12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AVERAGE('Sales'!G15:G18)</f>
        <v>0.0242027542501592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-0.01</v>
      </c>
      <c r="D5" s="12">
        <v>0.02</v>
      </c>
      <c r="E5" s="12">
        <v>0.05</v>
      </c>
      <c r="F5" s="12">
        <v>0.06</v>
      </c>
    </row>
    <row r="6" ht="20.05" customHeight="1">
      <c r="B6" t="s" s="10">
        <v>5</v>
      </c>
      <c r="C6" s="13">
        <f>'Sales'!B18*(1+C5)</f>
        <v>1142.46</v>
      </c>
      <c r="D6" s="14">
        <f>C6*(1+D5)</f>
        <v>1165.3092</v>
      </c>
      <c r="E6" s="14">
        <f>D6*(1+E5)</f>
        <v>1223.57466</v>
      </c>
      <c r="F6" s="14">
        <f>E6*(1+F5)</f>
        <v>1296.9891396</v>
      </c>
    </row>
    <row r="7" ht="20.05" customHeight="1">
      <c r="B7" t="s" s="10">
        <v>6</v>
      </c>
      <c r="C7" s="15">
        <f>AVERAGE('Sales'!I18)</f>
        <v>-0.581147717032614</v>
      </c>
      <c r="D7" s="16">
        <f>C7</f>
        <v>-0.581147717032614</v>
      </c>
      <c r="E7" s="16">
        <f>D7</f>
        <v>-0.581147717032614</v>
      </c>
      <c r="F7" s="16">
        <f>E7</f>
        <v>-0.581147717032614</v>
      </c>
    </row>
    <row r="8" ht="20.05" customHeight="1">
      <c r="B8" t="s" s="10">
        <v>7</v>
      </c>
      <c r="C8" s="17">
        <f>C6*C7</f>
        <v>-663.938020801080</v>
      </c>
      <c r="D8" s="18">
        <f>D6*D7</f>
        <v>-677.216781217102</v>
      </c>
      <c r="E8" s="18">
        <f>E6*E7</f>
        <v>-711.077620277957</v>
      </c>
      <c r="F8" s="18">
        <f>F6*F7</f>
        <v>-753.742277494634</v>
      </c>
    </row>
    <row r="9" ht="20.05" customHeight="1">
      <c r="B9" t="s" s="10">
        <v>8</v>
      </c>
      <c r="C9" s="17">
        <f>C6+C8</f>
        <v>478.521979198920</v>
      </c>
      <c r="D9" s="18">
        <f>D6+D8</f>
        <v>488.092418782898</v>
      </c>
      <c r="E9" s="18">
        <f>E6+E8</f>
        <v>512.497039722043</v>
      </c>
      <c r="F9" s="18">
        <f>F6+F8</f>
        <v>543.2468621053659</v>
      </c>
    </row>
    <row r="10" ht="20.05" customHeight="1">
      <c r="B10" t="s" s="10">
        <v>9</v>
      </c>
      <c r="C10" s="17">
        <f>AVERAGE('Cashflow '!E19)</f>
        <v>-40</v>
      </c>
      <c r="D10" s="18">
        <f>C10</f>
        <v>-40</v>
      </c>
      <c r="E10" s="18">
        <f>D10</f>
        <v>-40</v>
      </c>
      <c r="F10" s="18">
        <f>E10</f>
        <v>-40</v>
      </c>
    </row>
    <row r="11" ht="20.05" customHeight="1">
      <c r="B11" t="s" s="10">
        <v>10</v>
      </c>
      <c r="C11" s="17">
        <f>C12+C13+C15</f>
        <v>-438.521979198920</v>
      </c>
      <c r="D11" s="18">
        <f>D12+D13+D15</f>
        <v>-448.092418782898</v>
      </c>
      <c r="E11" s="18">
        <f>E12+E13+E15</f>
        <v>-472.497039722043</v>
      </c>
      <c r="F11" s="18">
        <f>F12+F13+F15</f>
        <v>-503.246862105366</v>
      </c>
    </row>
    <row r="12" ht="20.05" customHeight="1">
      <c r="B12" t="s" s="10">
        <v>11</v>
      </c>
      <c r="C12" s="17">
        <f>-'Balance sheet'!G19/20</f>
        <v>-410.3</v>
      </c>
      <c r="D12" s="18">
        <f>-C27/20</f>
        <v>-389.785</v>
      </c>
      <c r="E12" s="18">
        <f>-D27/20</f>
        <v>-370.29575</v>
      </c>
      <c r="F12" s="18">
        <f>-E27/20</f>
        <v>-351.7809625</v>
      </c>
    </row>
    <row r="13" ht="20.05" customHeight="1">
      <c r="B13" t="s" s="10">
        <v>12</v>
      </c>
      <c r="C13" s="17">
        <f>IF(C22&gt;0,-C22*0.3,0)</f>
        <v>-169.356593759676</v>
      </c>
      <c r="D13" s="18">
        <f>IF(D22&gt;0,-D22*0.3,0)</f>
        <v>-172.227725634869</v>
      </c>
      <c r="E13" s="18">
        <f>IF(E22&gt;0,-E22*0.3,0)</f>
        <v>-179.549111916613</v>
      </c>
      <c r="F13" s="18">
        <f>IF(F22&gt;0,-F22*0.3,0)</f>
        <v>-188.774058631610</v>
      </c>
    </row>
    <row r="14" ht="20.05" customHeight="1">
      <c r="B14" t="s" s="10">
        <v>13</v>
      </c>
      <c r="C14" s="17">
        <f>C9+C10+C12+C13</f>
        <v>-141.134614560756</v>
      </c>
      <c r="D14" s="18">
        <f>D9+D10+D12+D13</f>
        <v>-113.920306851971</v>
      </c>
      <c r="E14" s="18">
        <f>E9+E10+E12+E13</f>
        <v>-77.347822194570</v>
      </c>
      <c r="F14" s="18">
        <f>F9+F10+F12+F13</f>
        <v>-37.308159026244</v>
      </c>
    </row>
    <row r="15" ht="20.05" customHeight="1">
      <c r="B15" t="s" s="10">
        <v>14</v>
      </c>
      <c r="C15" s="17">
        <f>-MIN(0,C14)</f>
        <v>141.134614560756</v>
      </c>
      <c r="D15" s="18">
        <f>-MIN(C28,D14)</f>
        <v>113.920306851971</v>
      </c>
      <c r="E15" s="18">
        <f>-MIN(D28,E14)</f>
        <v>77.347822194570</v>
      </c>
      <c r="F15" s="18">
        <f>-MIN(E28,F14)</f>
        <v>37.308159026244</v>
      </c>
    </row>
    <row r="16" ht="20.05" customHeight="1">
      <c r="B16" t="s" s="10">
        <v>15</v>
      </c>
      <c r="C16" s="17">
        <f>'Balance sheet'!C19</f>
        <v>969</v>
      </c>
      <c r="D16" s="18">
        <f>C18</f>
        <v>969</v>
      </c>
      <c r="E16" s="18">
        <f>D18</f>
        <v>969</v>
      </c>
      <c r="F16" s="18">
        <f>E18</f>
        <v>969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969</v>
      </c>
      <c r="D18" s="18">
        <f>D16+D17</f>
        <v>969</v>
      </c>
      <c r="E18" s="18">
        <f>E16+E17</f>
        <v>969</v>
      </c>
      <c r="F18" s="18">
        <f>F16+F17</f>
        <v>969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0">
        <v>19</v>
      </c>
      <c r="C20" s="17">
        <f>-AVERAGE('Sales'!E18)</f>
        <v>-31.75</v>
      </c>
      <c r="D20" s="18">
        <f>C20</f>
        <v>-31.75</v>
      </c>
      <c r="E20" s="18">
        <f>D20</f>
        <v>-31.75</v>
      </c>
      <c r="F20" s="18">
        <f>E20</f>
        <v>-31.75</v>
      </c>
    </row>
    <row r="21" ht="20.05" customHeight="1">
      <c r="B21" t="s" s="10">
        <v>20</v>
      </c>
      <c r="C21" s="17">
        <f>AVERAGE('Sales'!D15:D18)</f>
        <v>117.75</v>
      </c>
      <c r="D21" s="18">
        <f>C21</f>
        <v>117.75</v>
      </c>
      <c r="E21" s="18">
        <f>D21</f>
        <v>117.75</v>
      </c>
      <c r="F21" s="18">
        <f>E21</f>
        <v>117.75</v>
      </c>
    </row>
    <row r="22" ht="20.05" customHeight="1">
      <c r="B22" t="s" s="10">
        <v>18</v>
      </c>
      <c r="C22" s="17">
        <f>C6+C8+C20+C21</f>
        <v>564.521979198920</v>
      </c>
      <c r="D22" s="18">
        <f>D6+D8+D20+D21</f>
        <v>574.092418782898</v>
      </c>
      <c r="E22" s="18">
        <f>E6+E8+E20+E21</f>
        <v>598.497039722043</v>
      </c>
      <c r="F22" s="18">
        <f>F6+F8+F20+F21</f>
        <v>629.2468621053659</v>
      </c>
    </row>
    <row r="23" ht="20.05" customHeight="1">
      <c r="B23" t="s" s="19">
        <v>21</v>
      </c>
      <c r="C23" s="17"/>
      <c r="D23" s="18"/>
      <c r="E23" s="18"/>
      <c r="F23" s="18"/>
    </row>
    <row r="24" ht="20.05" customHeight="1">
      <c r="B24" t="s" s="10">
        <v>22</v>
      </c>
      <c r="C24" s="17">
        <f>'Balance sheet'!E19+'Balance sheet'!F19-C10</f>
        <v>15372</v>
      </c>
      <c r="D24" s="18">
        <f>C24-D10</f>
        <v>15412</v>
      </c>
      <c r="E24" s="18">
        <f>D24-E10</f>
        <v>15452</v>
      </c>
      <c r="F24" s="18">
        <f>E24-F10</f>
        <v>15492</v>
      </c>
    </row>
    <row r="25" ht="20.05" customHeight="1">
      <c r="B25" t="s" s="10">
        <v>23</v>
      </c>
      <c r="C25" s="17">
        <f>'Balance sheet'!F19-C20</f>
        <v>696.75</v>
      </c>
      <c r="D25" s="18">
        <f>C25-D20</f>
        <v>728.5</v>
      </c>
      <c r="E25" s="18">
        <f>D25-E20</f>
        <v>760.25</v>
      </c>
      <c r="F25" s="18">
        <f>E25-F20</f>
        <v>792</v>
      </c>
    </row>
    <row r="26" ht="20.05" customHeight="1">
      <c r="B26" t="s" s="10">
        <v>24</v>
      </c>
      <c r="C26" s="17">
        <f>C24-C25</f>
        <v>14675.25</v>
      </c>
      <c r="D26" s="18">
        <f>D24-D25</f>
        <v>14683.5</v>
      </c>
      <c r="E26" s="18">
        <f>E24-E25</f>
        <v>14691.75</v>
      </c>
      <c r="F26" s="18">
        <f>F24-F25</f>
        <v>14700</v>
      </c>
    </row>
    <row r="27" ht="20.05" customHeight="1">
      <c r="B27" t="s" s="10">
        <v>11</v>
      </c>
      <c r="C27" s="17">
        <f>'Balance sheet'!G19+C12</f>
        <v>7795.7</v>
      </c>
      <c r="D27" s="18">
        <f>C27+D12</f>
        <v>7405.915</v>
      </c>
      <c r="E27" s="18">
        <f>D27+E12</f>
        <v>7035.61925</v>
      </c>
      <c r="F27" s="18">
        <f>E27+F12</f>
        <v>6683.8382875</v>
      </c>
    </row>
    <row r="28" ht="20.05" customHeight="1">
      <c r="B28" t="s" s="10">
        <v>14</v>
      </c>
      <c r="C28" s="17">
        <f>C15</f>
        <v>141.134614560756</v>
      </c>
      <c r="D28" s="18">
        <f>C28+D15</f>
        <v>255.054921412727</v>
      </c>
      <c r="E28" s="18">
        <f>D28+E15</f>
        <v>332.402743607297</v>
      </c>
      <c r="F28" s="18">
        <f>E28+F15</f>
        <v>369.710902633541</v>
      </c>
    </row>
    <row r="29" ht="20.05" customHeight="1">
      <c r="B29" t="s" s="10">
        <v>12</v>
      </c>
      <c r="C29" s="17">
        <f>'Balance sheet'!H19+C22+C13</f>
        <v>7825.165385439240</v>
      </c>
      <c r="D29" s="18">
        <f>C29+D13+D22</f>
        <v>8227.030078587270</v>
      </c>
      <c r="E29" s="18">
        <f>D29+E13+E22</f>
        <v>8645.978006392699</v>
      </c>
      <c r="F29" s="18">
        <f>E29+F13+F22</f>
        <v>9086.450809866459</v>
      </c>
    </row>
    <row r="30" ht="20.05" customHeight="1">
      <c r="B30" t="s" s="10">
        <v>25</v>
      </c>
      <c r="C30" s="17">
        <f>C27+C28+C29-C18-C26</f>
        <v>117.749999999996</v>
      </c>
      <c r="D30" s="18">
        <f>D27+D28+D29-D18-D26</f>
        <v>235.499999999997</v>
      </c>
      <c r="E30" s="18">
        <f>E27+E28+E29-E18-E26</f>
        <v>353.249999999997</v>
      </c>
      <c r="F30" s="18">
        <f>F27+F28+F29-F18-F26</f>
        <v>471.000000000001</v>
      </c>
    </row>
    <row r="31" ht="20.05" customHeight="1">
      <c r="B31" t="s" s="10">
        <v>26</v>
      </c>
      <c r="C31" s="17">
        <f>C18-C27-C28</f>
        <v>-6967.834614560760</v>
      </c>
      <c r="D31" s="18">
        <f>D18-D27-D28</f>
        <v>-6691.969921412730</v>
      </c>
      <c r="E31" s="18">
        <f>E18-E27-E28</f>
        <v>-6399.0219936073</v>
      </c>
      <c r="F31" s="18">
        <f>F18-F27-F28</f>
        <v>-6084.549190133540</v>
      </c>
    </row>
    <row r="32" ht="20.05" customHeight="1">
      <c r="B32" t="s" s="10">
        <v>27</v>
      </c>
      <c r="C32" s="17"/>
      <c r="D32" s="18"/>
      <c r="E32" s="18"/>
      <c r="F32" s="18"/>
    </row>
    <row r="33" ht="20.05" customHeight="1">
      <c r="B33" t="s" s="10">
        <v>28</v>
      </c>
      <c r="C33" s="17">
        <f>'Cashflow '!K19-C11</f>
        <v>5377.521979198920</v>
      </c>
      <c r="D33" s="18">
        <f>C33-D11</f>
        <v>5825.614397981820</v>
      </c>
      <c r="E33" s="18">
        <f>D33-E11</f>
        <v>6298.111437703860</v>
      </c>
      <c r="F33" s="18">
        <f>E33-F11</f>
        <v>6801.358299809230</v>
      </c>
    </row>
    <row r="34" ht="20.05" customHeight="1">
      <c r="B34" t="s" s="10">
        <v>29</v>
      </c>
      <c r="C34" s="17"/>
      <c r="D34" s="18"/>
      <c r="E34" s="18"/>
      <c r="F34" s="18">
        <v>18780</v>
      </c>
    </row>
    <row r="35" ht="20.05" customHeight="1">
      <c r="B35" t="s" s="10">
        <v>30</v>
      </c>
      <c r="C35" s="17"/>
      <c r="D35" s="18"/>
      <c r="E35" s="18"/>
      <c r="F35" s="21">
        <f>F34/(F18+F26)</f>
        <v>1.19854489756845</v>
      </c>
    </row>
    <row r="36" ht="20.05" customHeight="1">
      <c r="B36" t="s" s="10">
        <v>31</v>
      </c>
      <c r="C36" s="17"/>
      <c r="D36" s="18"/>
      <c r="E36" s="18"/>
      <c r="F36" s="16">
        <f>-(C13+D13+E13+F13)/F34</f>
        <v>0.0378012507956745</v>
      </c>
    </row>
    <row r="37" ht="20.05" customHeight="1">
      <c r="B37" t="s" s="10">
        <v>3</v>
      </c>
      <c r="C37" s="17"/>
      <c r="D37" s="18"/>
      <c r="E37" s="18"/>
      <c r="F37" s="18">
        <f>SUM(C9:F10)</f>
        <v>1862.358299809230</v>
      </c>
    </row>
    <row r="38" ht="20.05" customHeight="1">
      <c r="B38" t="s" s="10">
        <v>32</v>
      </c>
      <c r="C38" s="17"/>
      <c r="D38" s="18"/>
      <c r="E38" s="18"/>
      <c r="F38" s="18">
        <f>'Balance sheet'!E19/F37</f>
        <v>7.8754985018202</v>
      </c>
    </row>
    <row r="39" ht="20.05" customHeight="1">
      <c r="B39" t="s" s="10">
        <v>27</v>
      </c>
      <c r="C39" s="17"/>
      <c r="D39" s="18"/>
      <c r="E39" s="18"/>
      <c r="F39" s="18">
        <f>F34/F37</f>
        <v>10.0839886728154</v>
      </c>
    </row>
    <row r="40" ht="20.05" customHeight="1">
      <c r="B40" t="s" s="10">
        <v>33</v>
      </c>
      <c r="C40" s="17"/>
      <c r="D40" s="18"/>
      <c r="E40" s="18"/>
      <c r="F40" s="18">
        <v>12</v>
      </c>
    </row>
    <row r="41" ht="20.05" customHeight="1">
      <c r="B41" t="s" s="10">
        <v>34</v>
      </c>
      <c r="C41" s="17"/>
      <c r="D41" s="18"/>
      <c r="E41" s="18"/>
      <c r="F41" s="18">
        <f>F37*F40</f>
        <v>22348.2995977108</v>
      </c>
    </row>
    <row r="42" ht="20.05" customHeight="1">
      <c r="B42" t="s" s="10">
        <v>35</v>
      </c>
      <c r="C42" s="17"/>
      <c r="D42" s="18"/>
      <c r="E42" s="18"/>
      <c r="F42" s="18">
        <f>F34/F44</f>
        <v>14.9522292993631</v>
      </c>
    </row>
    <row r="43" ht="20.05" customHeight="1">
      <c r="B43" t="s" s="10">
        <v>36</v>
      </c>
      <c r="C43" s="17"/>
      <c r="D43" s="18"/>
      <c r="E43" s="18"/>
      <c r="F43" s="18">
        <f>F41/F42</f>
        <v>1494.646661060950</v>
      </c>
    </row>
    <row r="44" ht="20.05" customHeight="1">
      <c r="B44" t="s" s="10">
        <v>37</v>
      </c>
      <c r="C44" s="17"/>
      <c r="D44" s="18"/>
      <c r="E44" s="18"/>
      <c r="F44" s="18">
        <f>'Share price '!B19</f>
        <v>1256</v>
      </c>
    </row>
    <row r="45" ht="20.05" customHeight="1">
      <c r="B45" t="s" s="10">
        <v>38</v>
      </c>
      <c r="C45" s="17"/>
      <c r="D45" s="18"/>
      <c r="E45" s="18"/>
      <c r="F45" s="16">
        <f>F43/F44-1</f>
        <v>0.190005303392476</v>
      </c>
    </row>
    <row r="46" ht="20.05" customHeight="1">
      <c r="B46" t="s" s="10">
        <v>39</v>
      </c>
      <c r="C46" s="17"/>
      <c r="D46" s="18"/>
      <c r="E46" s="18"/>
      <c r="F46" s="16">
        <f>'Sales'!B18/'Sales'!B14-1</f>
        <v>0.0876531573986805</v>
      </c>
    </row>
    <row r="47" ht="20.05" customHeight="1">
      <c r="B47" t="s" s="10">
        <v>40</v>
      </c>
      <c r="C47" s="17"/>
      <c r="D47" s="18"/>
      <c r="E47" s="18"/>
      <c r="F47" s="16">
        <f>('Sales'!C14+'Sales'!C18+'Sales'!C15+'Sales'!C16+'Sales'!C17)/('Sales'!B14+'Sales'!B15+'Sales'!B16+'Sales'!B18+'Sales'!B17)-1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1.8672" style="22" customWidth="1"/>
    <col min="10" max="16384" width="16.3516" style="22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5">
        <v>1</v>
      </c>
      <c r="B2" t="s" s="5">
        <v>5</v>
      </c>
      <c r="C2" t="s" s="5">
        <v>33</v>
      </c>
      <c r="D2" t="s" s="5">
        <v>20</v>
      </c>
      <c r="E2" t="s" s="5">
        <v>23</v>
      </c>
      <c r="F2" t="s" s="5">
        <v>41</v>
      </c>
      <c r="G2" t="s" s="5">
        <v>42</v>
      </c>
      <c r="H2" t="s" s="5">
        <v>43</v>
      </c>
      <c r="I2" t="s" s="5">
        <v>44</v>
      </c>
    </row>
    <row r="3" ht="20.25" customHeight="1">
      <c r="A3" s="23">
        <v>2018</v>
      </c>
      <c r="B3" s="24">
        <v>1176</v>
      </c>
      <c r="C3" s="25"/>
      <c r="D3" s="26">
        <v>103</v>
      </c>
      <c r="E3" s="26">
        <v>21</v>
      </c>
      <c r="F3" s="26">
        <v>351</v>
      </c>
      <c r="G3" s="27"/>
      <c r="H3" s="9">
        <f>(D3+E3+F3-B3)/B3</f>
        <v>-0.59608843537415</v>
      </c>
      <c r="I3" s="27"/>
    </row>
    <row r="4" ht="20.05" customHeight="1">
      <c r="A4" s="28"/>
      <c r="B4" s="13">
        <f>2426-B3</f>
        <v>1250</v>
      </c>
      <c r="C4" s="14"/>
      <c r="D4" s="18">
        <f>257-D3</f>
        <v>154</v>
      </c>
      <c r="E4" s="18">
        <v>21</v>
      </c>
      <c r="F4" s="18">
        <f>703-F3</f>
        <v>352</v>
      </c>
      <c r="G4" s="16">
        <f>B4/B3-1</f>
        <v>0.0629251700680272</v>
      </c>
      <c r="H4" s="12">
        <f>(D4+E4+F4-B4)/B4</f>
        <v>-0.5784</v>
      </c>
      <c r="I4" s="16">
        <f>AVERAGE(H2:H4)</f>
        <v>-0.587244217687075</v>
      </c>
    </row>
    <row r="5" ht="20.05" customHeight="1">
      <c r="A5" s="28"/>
      <c r="B5" s="13">
        <f>3724-B4-B3</f>
        <v>1298</v>
      </c>
      <c r="C5" s="14"/>
      <c r="D5" s="18">
        <f>368-D4-D3</f>
        <v>111</v>
      </c>
      <c r="E5" s="18">
        <v>21</v>
      </c>
      <c r="F5" s="18">
        <f>1094-F4-F3</f>
        <v>391</v>
      </c>
      <c r="G5" s="16">
        <f>B5/B4-1</f>
        <v>0.0384</v>
      </c>
      <c r="H5" s="12">
        <f>(D5+E5+F5-B5)/B5</f>
        <v>-0.597072419106317</v>
      </c>
      <c r="I5" s="16">
        <f>AVERAGE(H2:H5)</f>
        <v>-0.590520284826822</v>
      </c>
    </row>
    <row r="6" ht="20.05" customHeight="1">
      <c r="A6" s="28"/>
      <c r="B6" s="13">
        <f>5018-B5-B4-B3</f>
        <v>1294</v>
      </c>
      <c r="C6" s="14"/>
      <c r="D6" s="18">
        <f>526-D5-D4-D3</f>
        <v>158</v>
      </c>
      <c r="E6" s="18">
        <v>21</v>
      </c>
      <c r="F6" s="18">
        <f>1468-F5-F4-F3</f>
        <v>374</v>
      </c>
      <c r="G6" s="16">
        <f>B6/B5-1</f>
        <v>-0.00308166409861325</v>
      </c>
      <c r="H6" s="12">
        <f>(D6+E6+F6-B6)/B6</f>
        <v>-0.572642967542504</v>
      </c>
      <c r="I6" s="16">
        <f>AVERAGE(H2:H6)</f>
        <v>-0.586050955505743</v>
      </c>
    </row>
    <row r="7" ht="20.05" customHeight="1">
      <c r="A7" s="29">
        <v>2019</v>
      </c>
      <c r="B7" s="13">
        <v>1248</v>
      </c>
      <c r="C7" s="14"/>
      <c r="D7" s="18">
        <v>136</v>
      </c>
      <c r="E7" s="18">
        <v>23</v>
      </c>
      <c r="F7" s="18">
        <v>336.8</v>
      </c>
      <c r="G7" s="16">
        <f>B7/B6-1</f>
        <v>-0.035548686244204</v>
      </c>
      <c r="H7" s="12">
        <f>(D7+E7+F7-B7)/B7</f>
        <v>-0.6027243589743591</v>
      </c>
      <c r="I7" s="16">
        <f>AVERAGE(H2:H7)</f>
        <v>-0.589385636199466</v>
      </c>
    </row>
    <row r="8" ht="20.05" customHeight="1">
      <c r="A8" s="28"/>
      <c r="B8" s="13">
        <f>2507-B7</f>
        <v>1259</v>
      </c>
      <c r="C8" s="14"/>
      <c r="D8" s="18">
        <f>249+13-D7</f>
        <v>126</v>
      </c>
      <c r="E8" s="18">
        <v>23</v>
      </c>
      <c r="F8" s="18">
        <f>690-F7</f>
        <v>353.2</v>
      </c>
      <c r="G8" s="16">
        <f>B8/B7-1</f>
        <v>0.008814102564102561</v>
      </c>
      <c r="H8" s="12">
        <f>(D8+E8+F8-B8)/B8</f>
        <v>-0.601111993645751</v>
      </c>
      <c r="I8" s="16">
        <f>AVERAGE(H2:H8)</f>
        <v>-0.59134002910718</v>
      </c>
    </row>
    <row r="9" ht="20.05" customHeight="1">
      <c r="A9" s="28"/>
      <c r="B9" s="13">
        <f>3834.7-B8-B7</f>
        <v>1327.7</v>
      </c>
      <c r="C9" s="14"/>
      <c r="D9" s="18">
        <f>344-D8-D7</f>
        <v>82</v>
      </c>
      <c r="E9" s="18">
        <v>23</v>
      </c>
      <c r="F9" s="18">
        <f>1090-F8-F7</f>
        <v>400</v>
      </c>
      <c r="G9" s="16">
        <f>B9/B8-1</f>
        <v>0.0545671167593328</v>
      </c>
      <c r="H9" s="12">
        <f>(D9+E9+F9-B9)/B9</f>
        <v>-0.619642991639678</v>
      </c>
      <c r="I9" s="16">
        <f>AVERAGE(H7:H9)</f>
        <v>-0.607826448086596</v>
      </c>
    </row>
    <row r="10" ht="20.05" customHeight="1">
      <c r="A10" s="28"/>
      <c r="B10" s="13">
        <f>5241-B9-B8-B7</f>
        <v>1406.3</v>
      </c>
      <c r="C10" s="14"/>
      <c r="D10" s="18">
        <f>426+792-D9-D8-D7</f>
        <v>874</v>
      </c>
      <c r="E10" s="18">
        <v>23</v>
      </c>
      <c r="F10" s="18">
        <f>711.7-F9-F8-F7</f>
        <v>-378.3</v>
      </c>
      <c r="G10" s="16">
        <f>B10/B9-1</f>
        <v>0.0592001205091512</v>
      </c>
      <c r="H10" s="12">
        <f>(D10+E10+F10-B10)/B10</f>
        <v>-0.631159780985565</v>
      </c>
      <c r="I10" s="16">
        <f>AVERAGE(H7:H10)</f>
        <v>-0.613659781311338</v>
      </c>
    </row>
    <row r="11" ht="20.05" customHeight="1">
      <c r="A11" s="29">
        <v>2020</v>
      </c>
      <c r="B11" s="13">
        <v>1374.6</v>
      </c>
      <c r="C11" s="14"/>
      <c r="D11" s="18">
        <v>226</v>
      </c>
      <c r="E11" s="18">
        <v>31</v>
      </c>
      <c r="F11" s="18">
        <v>327.9</v>
      </c>
      <c r="G11" s="16">
        <f>B11/B10-1</f>
        <v>-0.0225414207494845</v>
      </c>
      <c r="H11" s="12">
        <f>(D11+E11+F11-B11)/B11</f>
        <v>-0.574494398370435</v>
      </c>
      <c r="I11" s="16">
        <f>AVERAGE(H8:H11)</f>
        <v>-0.606602291160357</v>
      </c>
    </row>
    <row r="12" ht="20.05" customHeight="1">
      <c r="A12" s="28"/>
      <c r="B12" s="13">
        <f>2438.5-B11</f>
        <v>1063.9</v>
      </c>
      <c r="C12" s="14"/>
      <c r="D12" s="18">
        <f>684-D11</f>
        <v>458</v>
      </c>
      <c r="E12" s="18">
        <v>31</v>
      </c>
      <c r="F12" s="18">
        <f>332-F11</f>
        <v>4.1</v>
      </c>
      <c r="G12" s="16">
        <f>B12/B11-1</f>
        <v>-0.226029390368107</v>
      </c>
      <c r="H12" s="12">
        <f>(D12+E12+F12-B12)/B12</f>
        <v>-0.536516589905066</v>
      </c>
      <c r="I12" s="16">
        <f>AVERAGE(H9:H12)</f>
        <v>-0.590453440225186</v>
      </c>
    </row>
    <row r="13" ht="20.05" customHeight="1">
      <c r="A13" s="28"/>
      <c r="B13" s="13">
        <f>3509-B12-B11</f>
        <v>1070.5</v>
      </c>
      <c r="C13" s="14"/>
      <c r="D13" s="18">
        <f>913-D12-D11</f>
        <v>229</v>
      </c>
      <c r="E13" s="18">
        <v>31</v>
      </c>
      <c r="F13" s="18">
        <f>521-F12-F11</f>
        <v>189</v>
      </c>
      <c r="G13" s="16">
        <f>B13/B12-1</f>
        <v>0.00620359056302284</v>
      </c>
      <c r="H13" s="12">
        <f>(D13+E13+F13-B13)/B13</f>
        <v>-0.580569827183559</v>
      </c>
      <c r="I13" s="16">
        <f>AVERAGE(H10:H13)</f>
        <v>-0.580685149111156</v>
      </c>
    </row>
    <row r="14" ht="20.05" customHeight="1">
      <c r="A14" s="28"/>
      <c r="B14" s="13">
        <f>4570-B13-B12-B11</f>
        <v>1061</v>
      </c>
      <c r="C14" s="14"/>
      <c r="D14" s="18">
        <f>1171-D13-D12-D11</f>
        <v>258</v>
      </c>
      <c r="E14" s="18">
        <v>31</v>
      </c>
      <c r="F14" s="18">
        <f>702-F13-F12-F11</f>
        <v>181</v>
      </c>
      <c r="G14" s="16">
        <f>B14/B13-1</f>
        <v>-0.00887435777673984</v>
      </c>
      <c r="H14" s="12">
        <f>(D14+E14+F14-B14)/B14</f>
        <v>-0.557021677662582</v>
      </c>
      <c r="I14" s="16">
        <f>AVERAGE(H11:H14)</f>
        <v>-0.562150623280411</v>
      </c>
    </row>
    <row r="15" ht="20.05" customHeight="1">
      <c r="A15" s="29">
        <v>2021</v>
      </c>
      <c r="B15" s="17">
        <v>991</v>
      </c>
      <c r="C15" s="14"/>
      <c r="D15" s="18">
        <v>164</v>
      </c>
      <c r="E15" s="18">
        <v>31.75</v>
      </c>
      <c r="F15" s="18">
        <v>230</v>
      </c>
      <c r="G15" s="16">
        <f>B15/B14-1</f>
        <v>-0.06597549481621109</v>
      </c>
      <c r="H15" s="12">
        <f>(D15+E15+F15-B15)/B15</f>
        <v>-0.570383451059536</v>
      </c>
      <c r="I15" s="16">
        <f>AVERAGE(H12:H15)</f>
        <v>-0.561122886452686</v>
      </c>
    </row>
    <row r="16" ht="20.05" customHeight="1">
      <c r="A16" s="28"/>
      <c r="B16" s="13">
        <f>1960-B15</f>
        <v>969</v>
      </c>
      <c r="C16" s="18"/>
      <c r="D16" s="18">
        <f>267-D15</f>
        <v>103</v>
      </c>
      <c r="E16" s="18">
        <v>31.75</v>
      </c>
      <c r="F16" s="18">
        <f>487-F15</f>
        <v>257</v>
      </c>
      <c r="G16" s="16">
        <f>B16/B15-1</f>
        <v>-0.0221997981836529</v>
      </c>
      <c r="H16" s="12">
        <f>(D16+E16+F16-B16)/B16</f>
        <v>-0.595717234262126</v>
      </c>
      <c r="I16" s="16">
        <f>AVERAGE(H13:H16)</f>
        <v>-0.575923047541951</v>
      </c>
    </row>
    <row r="17" ht="20.05" customHeight="1">
      <c r="A17" s="28"/>
      <c r="B17" s="13">
        <f>2969-B16-B15</f>
        <v>1009</v>
      </c>
      <c r="C17" s="18"/>
      <c r="D17" s="18">
        <f>341-D16-D15</f>
        <v>74</v>
      </c>
      <c r="E17" s="18">
        <v>31.75</v>
      </c>
      <c r="F17" s="18">
        <f>796-F16-F15</f>
        <v>309</v>
      </c>
      <c r="G17" s="16">
        <f>B17/B16-1</f>
        <v>0.0412796697626419</v>
      </c>
      <c r="H17" s="12">
        <f>(D17+E17+F17-B17)/B17</f>
        <v>-0.588949454905847</v>
      </c>
      <c r="I17" s="16">
        <f>AVERAGE(H14:H17)</f>
        <v>-0.578017954472523</v>
      </c>
    </row>
    <row r="18" ht="20.05" customHeight="1">
      <c r="A18" s="28"/>
      <c r="B18" s="13">
        <f>4123-B17-B16-B15</f>
        <v>1154</v>
      </c>
      <c r="C18" s="18"/>
      <c r="D18" s="18">
        <f>471-D17-D16-D15</f>
        <v>130</v>
      </c>
      <c r="E18" s="18">
        <v>31.75</v>
      </c>
      <c r="F18" s="18">
        <f>1131-F17-F16-F15</f>
        <v>335</v>
      </c>
      <c r="G18" s="16">
        <f>B18/B17-1</f>
        <v>0.143706640237859</v>
      </c>
      <c r="H18" s="12">
        <f>(D18+E18+F18-B18)/B18</f>
        <v>-0.569540727902946</v>
      </c>
      <c r="I18" s="16">
        <f>AVERAGE(H15:H18)</f>
        <v>-0.581147717032614</v>
      </c>
    </row>
    <row r="19" ht="20.05" customHeight="1">
      <c r="A19" s="29">
        <v>2022</v>
      </c>
      <c r="B19" s="13"/>
      <c r="C19" s="14">
        <f>'Model'!C6</f>
        <v>1142.46</v>
      </c>
      <c r="D19" s="18"/>
      <c r="E19" s="18"/>
      <c r="F19" s="18"/>
      <c r="G19" s="12"/>
      <c r="H19" s="20"/>
      <c r="I19" s="16">
        <f>'Model'!C7</f>
        <v>-0.581147717032614</v>
      </c>
    </row>
    <row r="20" ht="20.05" customHeight="1">
      <c r="A20" s="28"/>
      <c r="B20" s="13"/>
      <c r="C20" s="14">
        <f>'Model'!D6</f>
        <v>1165.3092</v>
      </c>
      <c r="D20" s="18"/>
      <c r="E20" s="18"/>
      <c r="F20" s="18"/>
      <c r="G20" s="12"/>
      <c r="H20" s="12"/>
      <c r="I20" s="16"/>
    </row>
    <row r="21" ht="20.05" customHeight="1">
      <c r="A21" s="28"/>
      <c r="B21" s="13"/>
      <c r="C21" s="14">
        <f>'Model'!E6</f>
        <v>1223.57466</v>
      </c>
      <c r="D21" s="18"/>
      <c r="E21" s="18"/>
      <c r="F21" s="18"/>
      <c r="G21" s="12"/>
      <c r="H21" s="12"/>
      <c r="I21" s="16"/>
    </row>
    <row r="22" ht="20.05" customHeight="1">
      <c r="A22" s="28"/>
      <c r="B22" s="13"/>
      <c r="C22" s="14">
        <f>'Model'!F6</f>
        <v>1296.9891396</v>
      </c>
      <c r="D22" s="18"/>
      <c r="E22" s="18"/>
      <c r="F22" s="18"/>
      <c r="G22" s="12"/>
      <c r="H22" s="12"/>
      <c r="I22" s="16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1406" style="30" customWidth="1"/>
    <col min="2" max="11" width="10.2578" style="30" customWidth="1"/>
    <col min="12" max="16384" width="16.3516" style="30" customWidth="1"/>
  </cols>
  <sheetData>
    <row r="1" ht="21.1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11</v>
      </c>
      <c r="G3" t="s" s="5">
        <v>12</v>
      </c>
      <c r="H3" t="s" s="5">
        <v>10</v>
      </c>
      <c r="I3" t="s" s="5">
        <v>47</v>
      </c>
      <c r="J3" t="s" s="5">
        <v>3</v>
      </c>
      <c r="K3" t="s" s="5">
        <v>28</v>
      </c>
    </row>
    <row r="4" ht="20.25" customHeight="1">
      <c r="B4" s="23">
        <v>2018</v>
      </c>
      <c r="C4" s="31">
        <v>4511</v>
      </c>
      <c r="D4" s="26">
        <v>-541</v>
      </c>
      <c r="E4" s="26">
        <v>-37</v>
      </c>
      <c r="F4" s="26">
        <v>926</v>
      </c>
      <c r="G4" s="26"/>
      <c r="H4" s="26">
        <f>F4+G4</f>
        <v>926</v>
      </c>
      <c r="I4" s="26">
        <f>D4+E4</f>
        <v>-578</v>
      </c>
      <c r="J4" s="26">
        <f>AVERAGE(I4:I4)</f>
        <v>-578</v>
      </c>
      <c r="K4" s="26">
        <f>-(F4+G4)</f>
        <v>-926</v>
      </c>
    </row>
    <row r="5" ht="20.05" customHeight="1">
      <c r="B5" s="28"/>
      <c r="C5" s="17">
        <f>9058-C4</f>
        <v>4547</v>
      </c>
      <c r="D5" s="18">
        <f>-1280-D4</f>
        <v>-739</v>
      </c>
      <c r="E5" s="18">
        <f>-59-E4</f>
        <v>-22</v>
      </c>
      <c r="F5" s="18">
        <f>1796-G5-F4</f>
        <v>1109</v>
      </c>
      <c r="G5" s="18">
        <v>-239</v>
      </c>
      <c r="H5" s="18">
        <f>F5+G5</f>
        <v>870</v>
      </c>
      <c r="I5" s="18">
        <f>D5+E5</f>
        <v>-761</v>
      </c>
      <c r="J5" s="18">
        <f>AVERAGE(I5:I5)</f>
        <v>-761</v>
      </c>
      <c r="K5" s="18">
        <f>-(F5+G5)+K4</f>
        <v>-1796</v>
      </c>
    </row>
    <row r="6" ht="20.05" customHeight="1">
      <c r="B6" s="28"/>
      <c r="C6" s="17">
        <f>13999-C5-C4</f>
        <v>4941</v>
      </c>
      <c r="D6" s="18">
        <f>-1304-D5-D4</f>
        <v>-24</v>
      </c>
      <c r="E6" s="18">
        <f>-80-E5-E4</f>
        <v>-21</v>
      </c>
      <c r="F6" s="18">
        <f>1657-G5-F5-F4</f>
        <v>-139</v>
      </c>
      <c r="G6" s="18"/>
      <c r="H6" s="18">
        <f>F6+G6</f>
        <v>-139</v>
      </c>
      <c r="I6" s="18">
        <f>D6+E6</f>
        <v>-45</v>
      </c>
      <c r="J6" s="18">
        <f>AVERAGE(I6:I6)</f>
        <v>-45</v>
      </c>
      <c r="K6" s="18">
        <f>-(F6+G6)+K5</f>
        <v>-1657</v>
      </c>
    </row>
    <row r="7" ht="20.05" customHeight="1">
      <c r="B7" s="28"/>
      <c r="C7" s="17">
        <f>19344-C6-C5-C4</f>
        <v>5345</v>
      </c>
      <c r="D7" s="18">
        <f>-367-D6-D5-D4</f>
        <v>937</v>
      </c>
      <c r="E7" s="18">
        <f>-158-E6-E5-E4</f>
        <v>-78</v>
      </c>
      <c r="F7" s="18">
        <f>1055-G7-G6-G5-F6-F5-F4</f>
        <v>-602</v>
      </c>
      <c r="G7" s="18"/>
      <c r="H7" s="18">
        <f>F7+G7</f>
        <v>-602</v>
      </c>
      <c r="I7" s="18">
        <f>D7+E7</f>
        <v>859</v>
      </c>
      <c r="J7" s="18">
        <f>AVERAGE(I7:I7)</f>
        <v>859</v>
      </c>
      <c r="K7" s="18">
        <f>-(F7+G7)+K6</f>
        <v>-1055</v>
      </c>
    </row>
    <row r="8" ht="20.05" customHeight="1">
      <c r="B8" s="29">
        <v>2019</v>
      </c>
      <c r="C8" s="17">
        <f>4911+206+19+24</f>
        <v>5160</v>
      </c>
      <c r="D8" s="18">
        <v>784.5</v>
      </c>
      <c r="E8" s="18">
        <v>-18.7</v>
      </c>
      <c r="F8" s="18">
        <v>-881</v>
      </c>
      <c r="G8" s="18"/>
      <c r="H8" s="18">
        <f>F8+G8</f>
        <v>-881</v>
      </c>
      <c r="I8" s="18">
        <f>D8+E8</f>
        <v>765.8</v>
      </c>
      <c r="J8" s="18">
        <f>AVERAGE(I8:I8)</f>
        <v>765.8</v>
      </c>
      <c r="K8" s="18">
        <f>-(F8+G8)+K7</f>
        <v>-174</v>
      </c>
    </row>
    <row r="9" ht="20.05" customHeight="1">
      <c r="B9" s="28"/>
      <c r="C9" s="17">
        <f>10513-C8</f>
        <v>5353</v>
      </c>
      <c r="D9" s="18">
        <f>1391-D8</f>
        <v>606.5</v>
      </c>
      <c r="E9" s="18">
        <f>-40-E8</f>
        <v>-21.3</v>
      </c>
      <c r="F9" s="18">
        <f>-1350-G9-F8</f>
        <v>264</v>
      </c>
      <c r="G9" s="18">
        <v>-733</v>
      </c>
      <c r="H9" s="18">
        <f>F9+G9</f>
        <v>-469</v>
      </c>
      <c r="I9" s="18">
        <f>D9+E9</f>
        <v>585.2</v>
      </c>
      <c r="J9" s="18">
        <f>AVERAGE(I8:I9)</f>
        <v>675.5</v>
      </c>
      <c r="K9" s="18">
        <f>-(F9+G9)+K8</f>
        <v>295</v>
      </c>
    </row>
    <row r="10" ht="20.05" customHeight="1">
      <c r="B10" s="28"/>
      <c r="C10" s="17">
        <f>15848-C9-C8</f>
        <v>5335</v>
      </c>
      <c r="D10" s="18">
        <f>1625-D9-D8</f>
        <v>234</v>
      </c>
      <c r="E10" s="18">
        <f>-65-E9-E8</f>
        <v>-25</v>
      </c>
      <c r="F10" s="18">
        <f>-1402-G10-G9-F9-F8</f>
        <v>-52</v>
      </c>
      <c r="G10" s="18"/>
      <c r="H10" s="18">
        <f>F10+G10</f>
        <v>-52</v>
      </c>
      <c r="I10" s="18">
        <f>D10+E10</f>
        <v>209</v>
      </c>
      <c r="J10" s="18">
        <f>AVERAGE(I8:I10)</f>
        <v>520</v>
      </c>
      <c r="K10" s="18">
        <f>-(F10+G10)+K9</f>
        <v>347</v>
      </c>
    </row>
    <row r="11" ht="20.05" customHeight="1">
      <c r="B11" s="28"/>
      <c r="C11" s="17">
        <f>21284-C10-C9-C8</f>
        <v>5436</v>
      </c>
      <c r="D11" s="18">
        <f>1200-D10-D9-D8</f>
        <v>-425</v>
      </c>
      <c r="E11" s="18">
        <f>-88.7-E10-E9-E8</f>
        <v>-23.7</v>
      </c>
      <c r="F11" s="18">
        <f>-1207-G11-G10-G9-F10-F9-F8</f>
        <v>195</v>
      </c>
      <c r="G11" s="18">
        <v>0</v>
      </c>
      <c r="H11" s="18">
        <f>F11+G11</f>
        <v>195</v>
      </c>
      <c r="I11" s="18">
        <f>D11+E11</f>
        <v>-448.7</v>
      </c>
      <c r="J11" s="18">
        <f>AVERAGE(I8:I11)</f>
        <v>277.825</v>
      </c>
      <c r="K11" s="18">
        <f>-(F11+G11)+K10</f>
        <v>152</v>
      </c>
    </row>
    <row r="12" ht="20.05" customHeight="1">
      <c r="B12" s="29">
        <v>2020</v>
      </c>
      <c r="C12" s="17">
        <v>5233</v>
      </c>
      <c r="D12" s="18">
        <v>-232.5</v>
      </c>
      <c r="E12" s="18">
        <v>-31.9</v>
      </c>
      <c r="F12" s="18">
        <v>184</v>
      </c>
      <c r="G12" s="18"/>
      <c r="H12" s="18">
        <f>F12+G12</f>
        <v>184</v>
      </c>
      <c r="I12" s="18">
        <f>D12+E12</f>
        <v>-264.4</v>
      </c>
      <c r="J12" s="18">
        <f>AVERAGE(I9:I12)</f>
        <v>20.275</v>
      </c>
      <c r="K12" s="18">
        <f>-(F12+G12)+K11</f>
        <v>-32</v>
      </c>
    </row>
    <row r="13" ht="20.05" customHeight="1">
      <c r="B13" s="28"/>
      <c r="C13" s="17">
        <f>8537-C12</f>
        <v>3304</v>
      </c>
      <c r="D13" s="18">
        <f>2025.7-D12</f>
        <v>2258.2</v>
      </c>
      <c r="E13" s="18">
        <f>-50-E12</f>
        <v>-18.1</v>
      </c>
      <c r="F13" s="18">
        <f>-1295.7-F12</f>
        <v>-1479.7</v>
      </c>
      <c r="G13" s="18"/>
      <c r="H13" s="18">
        <f>F13+G13</f>
        <v>-1479.7</v>
      </c>
      <c r="I13" s="18">
        <f>D13+E13</f>
        <v>2240.1</v>
      </c>
      <c r="J13" s="18">
        <f>AVERAGE(I10:I13)</f>
        <v>434</v>
      </c>
      <c r="K13" s="18">
        <f>-(F13+G13)+K12</f>
        <v>1447.7</v>
      </c>
    </row>
    <row r="14" ht="20.05" customHeight="1">
      <c r="B14" s="28"/>
      <c r="C14" s="17">
        <f>12314-C13-C12</f>
        <v>3777</v>
      </c>
      <c r="D14" s="18">
        <f>3694.5-D13-D12</f>
        <v>1668.8</v>
      </c>
      <c r="E14" s="18">
        <f>-54.8-E13-E12</f>
        <v>-4.8</v>
      </c>
      <c r="F14" s="18">
        <f>-2241-G14-F13-F12</f>
        <v>-765.3</v>
      </c>
      <c r="G14" s="18">
        <v>-180</v>
      </c>
      <c r="H14" s="18">
        <f>F14+G14</f>
        <v>-945.3</v>
      </c>
      <c r="I14" s="18">
        <f>D14+E14</f>
        <v>1664</v>
      </c>
      <c r="J14" s="18">
        <f>AVERAGE(I11:I14)</f>
        <v>797.75</v>
      </c>
      <c r="K14" s="18">
        <f>-(F14+G14)+K13</f>
        <v>2393</v>
      </c>
    </row>
    <row r="15" ht="20.05" customHeight="1">
      <c r="B15" s="28"/>
      <c r="C15" s="17">
        <f>16213-C14-C13-C12</f>
        <v>3899</v>
      </c>
      <c r="D15" s="18">
        <f>4746-D14-D13-D12</f>
        <v>1051.5</v>
      </c>
      <c r="E15" s="18">
        <f>-84-E14-E13-E12</f>
        <v>-29.2</v>
      </c>
      <c r="F15" s="18">
        <f>-3907-G15-G14-F14-F13-F12</f>
        <v>-1666</v>
      </c>
      <c r="G15" s="18">
        <v>0</v>
      </c>
      <c r="H15" s="18">
        <f>F15+G15</f>
        <v>-1666</v>
      </c>
      <c r="I15" s="18">
        <f>D15+E15</f>
        <v>1022.3</v>
      </c>
      <c r="J15" s="18">
        <f>AVERAGE(I12:I15)</f>
        <v>1165.5</v>
      </c>
      <c r="K15" s="18">
        <f>-(F15+G15)+K14</f>
        <v>4059</v>
      </c>
    </row>
    <row r="16" ht="20.05" customHeight="1">
      <c r="B16" s="29">
        <v>2021</v>
      </c>
      <c r="C16" s="17">
        <v>4207</v>
      </c>
      <c r="D16" s="18">
        <v>619</v>
      </c>
      <c r="E16" s="18">
        <v>-13</v>
      </c>
      <c r="F16" s="18">
        <v>-1409</v>
      </c>
      <c r="G16" s="18"/>
      <c r="H16" s="18">
        <f>F16+G16</f>
        <v>-1409</v>
      </c>
      <c r="I16" s="18">
        <f>D16+E16</f>
        <v>606</v>
      </c>
      <c r="J16" s="18">
        <f>AVERAGE(I13:I16)</f>
        <v>1383.1</v>
      </c>
      <c r="K16" s="18">
        <f>-(F16+G16)+K15</f>
        <v>5468</v>
      </c>
    </row>
    <row r="17" ht="20.05" customHeight="1">
      <c r="B17" s="28"/>
      <c r="C17" s="17">
        <f>8161-C16</f>
        <v>3954</v>
      </c>
      <c r="D17" s="18">
        <f>726-D16</f>
        <v>107</v>
      </c>
      <c r="E17" s="18">
        <f>-29-E16</f>
        <v>-16</v>
      </c>
      <c r="F17" s="18">
        <f>-1496-G17-F16</f>
        <v>182</v>
      </c>
      <c r="G17" s="18">
        <v>-269</v>
      </c>
      <c r="H17" s="18">
        <f>F17+G17</f>
        <v>-87</v>
      </c>
      <c r="I17" s="18">
        <f>D17+E17</f>
        <v>91</v>
      </c>
      <c r="J17" s="18">
        <f>AVERAGE(I14:I17)</f>
        <v>845.825</v>
      </c>
      <c r="K17" s="18">
        <f>-(F17+G17)+K16</f>
        <v>5555</v>
      </c>
    </row>
    <row r="18" ht="20.05" customHeight="1">
      <c r="B18" s="28"/>
      <c r="C18" s="17">
        <f>12216-C17-C16</f>
        <v>4055</v>
      </c>
      <c r="D18" s="18">
        <f>917-D17-D16</f>
        <v>191</v>
      </c>
      <c r="E18" s="18">
        <f>-68-E17-E16</f>
        <v>-39</v>
      </c>
      <c r="F18" s="18">
        <f>-1438-G18-G17-F17-F16</f>
        <v>58</v>
      </c>
      <c r="G18" s="18">
        <v>0</v>
      </c>
      <c r="H18" s="18">
        <f>F18+G18</f>
        <v>58</v>
      </c>
      <c r="I18" s="18">
        <f>D18+E18</f>
        <v>152</v>
      </c>
      <c r="J18" s="18">
        <f>AVERAGE(I15:I18)</f>
        <v>467.825</v>
      </c>
      <c r="K18" s="18">
        <f>-(F18+G18)+K17</f>
        <v>5497</v>
      </c>
    </row>
    <row r="19" ht="20.05" customHeight="1">
      <c r="B19" s="28"/>
      <c r="C19" s="17">
        <f>16688-C18-C17-C16</f>
        <v>4472</v>
      </c>
      <c r="D19" s="18">
        <f>543-D18-D17-D16</f>
        <v>-374</v>
      </c>
      <c r="E19" s="18">
        <f>-108-E18-E17-E16</f>
        <v>-40</v>
      </c>
      <c r="F19" s="18">
        <f>-880-G19-G18-G17-F18-F17-F16</f>
        <v>663</v>
      </c>
      <c r="G19" s="18">
        <f>-374-G18-G17</f>
        <v>-105</v>
      </c>
      <c r="H19" s="18">
        <f>F19+G19</f>
        <v>558</v>
      </c>
      <c r="I19" s="18">
        <f>D19+E19</f>
        <v>-414</v>
      </c>
      <c r="J19" s="18">
        <f>AVERAGE(I16:I19)</f>
        <v>108.75</v>
      </c>
      <c r="K19" s="18">
        <f>-(F19+G19)+K18</f>
        <v>4939</v>
      </c>
    </row>
    <row r="20" ht="20.05" customHeight="1">
      <c r="B20" s="29">
        <v>2022</v>
      </c>
      <c r="C20" s="17"/>
      <c r="D20" s="18"/>
      <c r="E20" s="18"/>
      <c r="F20" s="18"/>
      <c r="G20" s="18"/>
      <c r="H20" s="18"/>
      <c r="I20" s="18"/>
      <c r="J20" s="18">
        <f>SUM('Model'!C9:F10)/4</f>
        <v>465.589574952307</v>
      </c>
      <c r="K20" s="18">
        <f>'Model'!F33</f>
        <v>6801.358299809230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7188" style="32" customWidth="1"/>
    <col min="2" max="11" width="9.85156" style="32" customWidth="1"/>
    <col min="12" max="16384" width="16.3516" style="32" customWidth="1"/>
  </cols>
  <sheetData>
    <row r="1" ht="12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48</v>
      </c>
      <c r="D3" t="s" s="5">
        <v>49</v>
      </c>
      <c r="E3" t="s" s="5">
        <v>50</v>
      </c>
      <c r="F3" t="s" s="5">
        <v>23</v>
      </c>
      <c r="G3" t="s" s="5">
        <v>11</v>
      </c>
      <c r="H3" t="s" s="5">
        <v>12</v>
      </c>
      <c r="I3" t="s" s="5">
        <v>51</v>
      </c>
      <c r="J3" t="s" s="5">
        <v>52</v>
      </c>
      <c r="K3" t="s" s="5">
        <v>33</v>
      </c>
    </row>
    <row r="4" ht="20.25" customHeight="1">
      <c r="B4" s="23">
        <v>2018</v>
      </c>
      <c r="C4" s="31">
        <v>573</v>
      </c>
      <c r="D4" s="26">
        <v>17833</v>
      </c>
      <c r="E4" s="26">
        <f>D4-C4</f>
        <v>17260</v>
      </c>
      <c r="F4" s="26"/>
      <c r="G4" s="26">
        <v>12577</v>
      </c>
      <c r="H4" s="26">
        <f>D4-G4</f>
        <v>5256</v>
      </c>
      <c r="I4" s="26">
        <f>G4+H4-C4-E4</f>
        <v>0</v>
      </c>
      <c r="J4" s="26">
        <f>C4-G4</f>
        <v>-12004</v>
      </c>
      <c r="K4" s="26"/>
    </row>
    <row r="5" ht="20.05" customHeight="1">
      <c r="B5" s="28"/>
      <c r="C5" s="17">
        <v>682</v>
      </c>
      <c r="D5" s="18">
        <v>19001</v>
      </c>
      <c r="E5" s="18">
        <f>D5-C5</f>
        <v>18319</v>
      </c>
      <c r="F5" s="18"/>
      <c r="G5" s="18">
        <v>13593</v>
      </c>
      <c r="H5" s="18">
        <f>D5-G5</f>
        <v>5408</v>
      </c>
      <c r="I5" s="18">
        <f>G5+H5-C5-E5</f>
        <v>0</v>
      </c>
      <c r="J5" s="18">
        <f>C5-G5</f>
        <v>-12911</v>
      </c>
      <c r="K5" s="18"/>
    </row>
    <row r="6" ht="20.05" customHeight="1">
      <c r="B6" s="28"/>
      <c r="C6" s="17">
        <v>498</v>
      </c>
      <c r="D6" s="18">
        <v>19440</v>
      </c>
      <c r="E6" s="18">
        <f>D6-C6</f>
        <v>18942</v>
      </c>
      <c r="F6" s="18"/>
      <c r="G6" s="18">
        <v>13628</v>
      </c>
      <c r="H6" s="18">
        <f>D6-G6</f>
        <v>5812</v>
      </c>
      <c r="I6" s="18">
        <f>G6+H6-C6-E6</f>
        <v>0</v>
      </c>
      <c r="J6" s="18">
        <f>C6-G6</f>
        <v>-13130</v>
      </c>
      <c r="K6" s="18"/>
    </row>
    <row r="7" ht="20.05" customHeight="1">
      <c r="B7" s="28"/>
      <c r="C7" s="17">
        <v>755</v>
      </c>
      <c r="D7" s="18">
        <v>19117</v>
      </c>
      <c r="E7" s="18">
        <f>D7-C7</f>
        <v>18362</v>
      </c>
      <c r="F7" s="18"/>
      <c r="G7" s="18">
        <v>12914</v>
      </c>
      <c r="H7" s="18">
        <f>D7-G7</f>
        <v>6203</v>
      </c>
      <c r="I7" s="18">
        <f>G7+H7-C7-E7</f>
        <v>0</v>
      </c>
      <c r="J7" s="18">
        <f>C7-G7</f>
        <v>-12159</v>
      </c>
      <c r="K7" s="18"/>
    </row>
    <row r="8" ht="20.05" customHeight="1">
      <c r="B8" s="29">
        <v>2019</v>
      </c>
      <c r="C8" s="17">
        <v>640</v>
      </c>
      <c r="D8" s="18">
        <v>18462</v>
      </c>
      <c r="E8" s="18">
        <f>D8-C8</f>
        <v>17822</v>
      </c>
      <c r="F8" s="18"/>
      <c r="G8" s="18">
        <v>11934.6</v>
      </c>
      <c r="H8" s="18">
        <f>D8-G8</f>
        <v>6527.4</v>
      </c>
      <c r="I8" s="18">
        <f>G8+H8-C8-E8</f>
        <v>0</v>
      </c>
      <c r="J8" s="18">
        <f>C8-G8</f>
        <v>-11294.6</v>
      </c>
      <c r="K8" s="18"/>
    </row>
    <row r="9" ht="20.05" customHeight="1">
      <c r="B9" s="28"/>
      <c r="C9" s="17">
        <v>756</v>
      </c>
      <c r="D9" s="18">
        <v>18369</v>
      </c>
      <c r="E9" s="18">
        <f>D9-C9</f>
        <v>17613</v>
      </c>
      <c r="F9" s="18"/>
      <c r="G9" s="18">
        <v>12261</v>
      </c>
      <c r="H9" s="18">
        <f>D9-G9</f>
        <v>6108</v>
      </c>
      <c r="I9" s="18">
        <f>G9+H9-C9-E9</f>
        <v>0</v>
      </c>
      <c r="J9" s="18">
        <f>C9-G9</f>
        <v>-11505</v>
      </c>
      <c r="K9" s="18"/>
    </row>
    <row r="10" ht="20.05" customHeight="1">
      <c r="B10" s="28"/>
      <c r="C10" s="17">
        <v>913.5</v>
      </c>
      <c r="D10" s="18">
        <v>18694.5</v>
      </c>
      <c r="E10" s="18">
        <f>D10-C10</f>
        <v>17781</v>
      </c>
      <c r="F10" s="18"/>
      <c r="G10" s="18">
        <v>12193.6</v>
      </c>
      <c r="H10" s="18">
        <f>D10-G10</f>
        <v>6500.9</v>
      </c>
      <c r="I10" s="18">
        <f>G10+H10-C10-E10</f>
        <v>0</v>
      </c>
      <c r="J10" s="18">
        <f>C10-G10</f>
        <v>-11280.1</v>
      </c>
      <c r="K10" s="18"/>
    </row>
    <row r="11" ht="20.05" customHeight="1">
      <c r="B11" s="28"/>
      <c r="C11" s="17">
        <v>660</v>
      </c>
      <c r="D11" s="18">
        <v>19089.6</v>
      </c>
      <c r="E11" s="18">
        <f>D11-C11</f>
        <v>18429.6</v>
      </c>
      <c r="F11" s="18"/>
      <c r="G11" s="18">
        <v>13009.5</v>
      </c>
      <c r="H11" s="18">
        <f>D11-G11</f>
        <v>6080.1</v>
      </c>
      <c r="I11" s="18">
        <f>G11+H11-C11-E11</f>
        <v>0</v>
      </c>
      <c r="J11" s="18">
        <f>C11-G11</f>
        <v>-12349.5</v>
      </c>
      <c r="K11" s="18"/>
    </row>
    <row r="12" ht="20.05" customHeight="1">
      <c r="B12" s="29">
        <v>2020</v>
      </c>
      <c r="C12" s="17">
        <v>580</v>
      </c>
      <c r="D12" s="18">
        <v>19677.8</v>
      </c>
      <c r="E12" s="18">
        <f>D12-C12</f>
        <v>19097.8</v>
      </c>
      <c r="F12" s="18"/>
      <c r="G12" s="18">
        <v>13327</v>
      </c>
      <c r="H12" s="18">
        <f>D12-G12</f>
        <v>6350.8</v>
      </c>
      <c r="I12" s="18">
        <f>G12+H12-C12-E12</f>
        <v>0</v>
      </c>
      <c r="J12" s="18">
        <f>C12-G12</f>
        <v>-12747</v>
      </c>
      <c r="K12" s="18"/>
    </row>
    <row r="13" ht="20.05" customHeight="1">
      <c r="B13" s="28"/>
      <c r="C13" s="17">
        <v>1339.8</v>
      </c>
      <c r="D13" s="18">
        <v>17285</v>
      </c>
      <c r="E13" s="18">
        <f>D13-C13</f>
        <v>15945.2</v>
      </c>
      <c r="F13" s="18"/>
      <c r="G13" s="18">
        <v>11134.5</v>
      </c>
      <c r="H13" s="18">
        <f>D13-G13</f>
        <v>6150.5</v>
      </c>
      <c r="I13" s="18">
        <f>G13+H13-C13-E13</f>
        <v>0</v>
      </c>
      <c r="J13" s="18">
        <f>C13-G13</f>
        <v>-9794.700000000001</v>
      </c>
      <c r="K13" s="18"/>
    </row>
    <row r="14" ht="20.05" customHeight="1">
      <c r="B14" s="28"/>
      <c r="C14" s="17">
        <v>2059</v>
      </c>
      <c r="D14" s="18">
        <v>16743</v>
      </c>
      <c r="E14" s="18">
        <f>D14-C14</f>
        <v>14684</v>
      </c>
      <c r="F14" s="18"/>
      <c r="G14" s="18">
        <v>10445</v>
      </c>
      <c r="H14" s="18">
        <f>D14-G14</f>
        <v>6298</v>
      </c>
      <c r="I14" s="18">
        <f>G14+H14-C14-E14</f>
        <v>0</v>
      </c>
      <c r="J14" s="18">
        <f>C14-G14</f>
        <v>-8386</v>
      </c>
      <c r="K14" s="18"/>
    </row>
    <row r="15" ht="20.05" customHeight="1">
      <c r="B15" s="28"/>
      <c r="C15" s="17">
        <v>1415</v>
      </c>
      <c r="D15" s="18">
        <v>15201</v>
      </c>
      <c r="E15" s="18">
        <f>D15-C15</f>
        <v>13786</v>
      </c>
      <c r="F15" s="18"/>
      <c r="G15" s="18">
        <v>8594</v>
      </c>
      <c r="H15" s="18">
        <f>D15-G15</f>
        <v>6607</v>
      </c>
      <c r="I15" s="18">
        <f>G15+H15-C15-E15</f>
        <v>0</v>
      </c>
      <c r="J15" s="18">
        <f>C15-G15</f>
        <v>-7179</v>
      </c>
      <c r="K15" s="18"/>
    </row>
    <row r="16" ht="20.05" customHeight="1">
      <c r="B16" s="29">
        <v>2021</v>
      </c>
      <c r="C16" s="17">
        <v>611</v>
      </c>
      <c r="D16" s="18">
        <v>14178</v>
      </c>
      <c r="E16" s="18">
        <f>D16-C16</f>
        <v>13567</v>
      </c>
      <c r="F16" s="18"/>
      <c r="G16" s="18">
        <v>7311</v>
      </c>
      <c r="H16" s="18">
        <f>D16-G16</f>
        <v>6867</v>
      </c>
      <c r="I16" s="18">
        <f>G16+H16-C16-E16</f>
        <v>0</v>
      </c>
      <c r="J16" s="18">
        <f>C16-G16</f>
        <v>-6700</v>
      </c>
      <c r="K16" s="18"/>
    </row>
    <row r="17" ht="20.05" customHeight="1">
      <c r="B17" s="28"/>
      <c r="C17" s="17">
        <v>616</v>
      </c>
      <c r="D17" s="18">
        <v>14211</v>
      </c>
      <c r="E17" s="18">
        <f>D17-C17</f>
        <v>13595</v>
      </c>
      <c r="F17" s="18"/>
      <c r="G17" s="18">
        <v>7337</v>
      </c>
      <c r="H17" s="18">
        <f>D17-G17</f>
        <v>6874</v>
      </c>
      <c r="I17" s="18">
        <f>G17+H17-C17-E17</f>
        <v>0</v>
      </c>
      <c r="J17" s="18">
        <f>C17-G17</f>
        <v>-6721</v>
      </c>
      <c r="K17" s="18"/>
    </row>
    <row r="18" ht="20.05" customHeight="1">
      <c r="B18" s="28"/>
      <c r="C18" s="17">
        <v>825</v>
      </c>
      <c r="D18" s="18">
        <v>14645</v>
      </c>
      <c r="E18" s="18">
        <f>D18-C18</f>
        <v>13820</v>
      </c>
      <c r="F18" s="18"/>
      <c r="G18" s="18">
        <v>7455</v>
      </c>
      <c r="H18" s="18">
        <f>D18-G18</f>
        <v>7190</v>
      </c>
      <c r="I18" s="18">
        <f>G18+H18-C18-E18</f>
        <v>0</v>
      </c>
      <c r="J18" s="18">
        <f>C18-G18</f>
        <v>-6630</v>
      </c>
      <c r="K18" s="18"/>
    </row>
    <row r="19" ht="20.05" customHeight="1">
      <c r="B19" s="28"/>
      <c r="C19" s="17">
        <v>969</v>
      </c>
      <c r="D19" s="18">
        <v>15636</v>
      </c>
      <c r="E19" s="18">
        <f>D19-C19</f>
        <v>14667</v>
      </c>
      <c r="F19" s="18">
        <f>522+45+98</f>
        <v>665</v>
      </c>
      <c r="G19" s="18">
        <v>8206</v>
      </c>
      <c r="H19" s="18">
        <f>D19-G19</f>
        <v>7430</v>
      </c>
      <c r="I19" s="18">
        <f>G19+H19-C19-E19</f>
        <v>0</v>
      </c>
      <c r="J19" s="18">
        <f>C19-G19</f>
        <v>-7237</v>
      </c>
      <c r="K19" s="18">
        <f>J19</f>
        <v>-7237</v>
      </c>
    </row>
    <row r="20" ht="20.05" customHeight="1">
      <c r="B20" s="29">
        <v>2022</v>
      </c>
      <c r="C20" s="17"/>
      <c r="D20" s="18"/>
      <c r="E20" s="18"/>
      <c r="F20" s="18"/>
      <c r="G20" s="18"/>
      <c r="H20" s="18"/>
      <c r="I20" s="18"/>
      <c r="J20" s="18"/>
      <c r="K20" s="18">
        <f>'Model'!F31</f>
        <v>-6084.549190133540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91406" style="33" customWidth="1"/>
    <col min="2" max="4" width="11.8906" style="33" customWidth="1"/>
    <col min="5" max="16384" width="16.3516" style="33" customWidth="1"/>
  </cols>
  <sheetData>
    <row r="1" ht="27.65" customHeight="1">
      <c r="A1" t="s" s="2">
        <v>53</v>
      </c>
      <c r="B1" s="2"/>
      <c r="C1" s="2"/>
      <c r="D1" s="2"/>
    </row>
    <row r="2" ht="20.25" customHeight="1">
      <c r="A2" s="4"/>
      <c r="B2" t="s" s="5">
        <v>54</v>
      </c>
      <c r="C2" t="s" s="5">
        <v>55</v>
      </c>
      <c r="D2" t="s" s="5">
        <v>56</v>
      </c>
    </row>
    <row r="3" ht="20.25" customHeight="1">
      <c r="A3" s="23">
        <v>2018</v>
      </c>
      <c r="B3" s="31">
        <v>800</v>
      </c>
      <c r="C3" s="8"/>
      <c r="D3" s="8"/>
    </row>
    <row r="4" ht="20.05" customHeight="1">
      <c r="A4" s="28"/>
      <c r="B4" s="17">
        <v>680</v>
      </c>
      <c r="C4" s="20"/>
      <c r="D4" s="20"/>
    </row>
    <row r="5" ht="20.05" customHeight="1">
      <c r="A5" s="28"/>
      <c r="B5" s="17">
        <v>615</v>
      </c>
      <c r="C5" s="20"/>
      <c r="D5" s="20"/>
    </row>
    <row r="6" ht="20.05" customHeight="1">
      <c r="A6" s="28"/>
      <c r="B6" s="17">
        <v>665</v>
      </c>
      <c r="C6" s="20"/>
      <c r="D6" s="20"/>
    </row>
    <row r="7" ht="20.05" customHeight="1">
      <c r="A7" s="29">
        <v>2019</v>
      </c>
      <c r="B7" s="17">
        <v>660</v>
      </c>
      <c r="C7" s="20"/>
      <c r="D7" s="20"/>
    </row>
    <row r="8" ht="20.05" customHeight="1">
      <c r="A8" s="28"/>
      <c r="B8" s="17">
        <v>600</v>
      </c>
      <c r="C8" s="20"/>
      <c r="D8" s="20"/>
    </row>
    <row r="9" ht="20.05" customHeight="1">
      <c r="A9" s="28"/>
      <c r="B9" s="17">
        <v>540</v>
      </c>
      <c r="C9" s="20"/>
      <c r="D9" s="20"/>
    </row>
    <row r="10" ht="20.05" customHeight="1">
      <c r="A10" s="28"/>
      <c r="B10" s="17">
        <v>560</v>
      </c>
      <c r="C10" s="20"/>
      <c r="D10" s="20"/>
    </row>
    <row r="11" ht="20.05" customHeight="1">
      <c r="A11" s="29">
        <v>2020</v>
      </c>
      <c r="B11" s="17">
        <v>240</v>
      </c>
      <c r="C11" s="20"/>
      <c r="D11" s="20"/>
    </row>
    <row r="12" ht="20.05" customHeight="1">
      <c r="A12" s="28"/>
      <c r="B12" s="17">
        <v>282</v>
      </c>
      <c r="C12" s="20"/>
      <c r="D12" s="20"/>
    </row>
    <row r="13" ht="20.05" customHeight="1">
      <c r="A13" s="28"/>
      <c r="B13" s="17">
        <v>406</v>
      </c>
      <c r="C13" s="20"/>
      <c r="D13" s="20"/>
    </row>
    <row r="14" ht="20.05" customHeight="1">
      <c r="A14" s="28"/>
      <c r="B14" s="17">
        <v>560</v>
      </c>
      <c r="C14" s="20"/>
      <c r="D14" s="20"/>
    </row>
    <row r="15" ht="20.05" customHeight="1">
      <c r="A15" s="29">
        <v>2021</v>
      </c>
      <c r="B15" s="17">
        <v>655</v>
      </c>
      <c r="C15" s="20"/>
      <c r="D15" s="20"/>
    </row>
    <row r="16" ht="20.05" customHeight="1">
      <c r="A16" s="28"/>
      <c r="B16" s="17">
        <v>890</v>
      </c>
      <c r="C16" s="20"/>
      <c r="D16" s="20"/>
    </row>
    <row r="17" ht="20.05" customHeight="1">
      <c r="A17" s="28"/>
      <c r="B17" s="17">
        <v>1005</v>
      </c>
      <c r="C17" s="20"/>
      <c r="D17" s="20"/>
    </row>
    <row r="18" ht="20.05" customHeight="1">
      <c r="A18" s="28"/>
      <c r="B18" s="17">
        <v>1175</v>
      </c>
      <c r="C18" s="20"/>
      <c r="D18" s="20"/>
    </row>
    <row r="19" ht="20.05" customHeight="1">
      <c r="A19" s="29">
        <v>2022</v>
      </c>
      <c r="B19" s="17">
        <v>1256</v>
      </c>
      <c r="C19" s="18">
        <f>B19</f>
        <v>1256</v>
      </c>
      <c r="D19" s="20"/>
    </row>
    <row r="20" ht="20.05" customHeight="1">
      <c r="A20" s="28"/>
      <c r="B20" s="17"/>
      <c r="C20" s="18">
        <f>'Model'!F43</f>
        <v>1494.646661060950</v>
      </c>
      <c r="D20" s="20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