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 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<sst xmlns="http://schemas.openxmlformats.org/spreadsheetml/2006/main" uniqueCount="66">
  <si>
    <t>Financial model</t>
  </si>
  <si>
    <t>Rpbn</t>
  </si>
  <si>
    <t>4Q 2022</t>
  </si>
  <si>
    <t xml:space="preserve">Cashflow </t>
  </si>
  <si>
    <t>Growth</t>
  </si>
  <si>
    <t>Sales</t>
  </si>
  <si>
    <t>Cost ratio</t>
  </si>
  <si>
    <t xml:space="preserve">Cash costs </t>
  </si>
  <si>
    <t>Operating</t>
  </si>
  <si>
    <t>Investment</t>
  </si>
  <si>
    <t>Finance</t>
  </si>
  <si>
    <t xml:space="preserve">Payout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</si>
  <si>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</si>
  <si>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</si>
  <si>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</si>
  <si>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</si>
  <si>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</si>
  <si>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</si>
  <si>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</si>
  <si>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Depreciation </t>
  </si>
  <si>
    <t>Provision</t>
  </si>
  <si>
    <t xml:space="preserve">Net profit </t>
  </si>
  <si>
    <t>Balance sheet</t>
  </si>
  <si>
    <t>Other assets</t>
  </si>
  <si>
    <t>Net other assets</t>
  </si>
  <si>
    <t xml:space="preserve">Liabilities </t>
  </si>
  <si>
    <t xml:space="preserve">Equity </t>
  </si>
  <si>
    <t xml:space="preserve">Check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</si>
  <si>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</si>
  <si>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</si>
  <si>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</si>
  <si>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</si>
  <si>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</si>
  <si>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Forecast </t>
  </si>
  <si>
    <t>Value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</si>
  <si>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</si>
  <si>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</si>
  <si>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</si>
  <si>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</si>
  <si>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</si>
  <si>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v forecast </t>
  </si>
  <si>
    <t xml:space="preserve">Impairment losses </t>
  </si>
  <si>
    <t xml:space="preserve">Depreciation &amp; amortization </t>
  </si>
  <si>
    <t xml:space="preserve">Net income </t>
  </si>
  <si>
    <t>Sales to assets ratio</t>
  </si>
  <si>
    <t xml:space="preserve">Growth </t>
  </si>
  <si>
    <t xml:space="preserve">Cost ratio </t>
  </si>
  <si>
    <t>Cashflow</t>
  </si>
  <si>
    <t>Receipts</t>
  </si>
  <si>
    <t>Capex</t>
  </si>
  <si>
    <t xml:space="preserve">Operating </t>
  </si>
  <si>
    <t xml:space="preserve">Investing </t>
  </si>
  <si>
    <t xml:space="preserve">Leases </t>
  </si>
  <si>
    <t xml:space="preserve">Free cashflow </t>
  </si>
  <si>
    <t xml:space="preserve">  Cash</t>
  </si>
  <si>
    <t>Assets</t>
  </si>
  <si>
    <t>Depreciation &amp; provisions</t>
  </si>
  <si>
    <t xml:space="preserve">Other assets growth </t>
  </si>
  <si>
    <t>Liabilities growth</t>
  </si>
  <si>
    <t xml:space="preserve">Leverage </t>
  </si>
  <si>
    <t>Share price</t>
  </si>
  <si>
    <t>BDMN</t>
  </si>
  <si>
    <t>Target</t>
  </si>
  <si>
    <t xml:space="preserve">Previous </t>
  </si>
  <si>
    <t>Capital</t>
  </si>
  <si>
    <t xml:space="preserve">Total 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</si>
</sst>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0%_);[Red]\(0%\)"/>
    <numFmt numFmtId="60" formatCode="#,##0%"/>
    <numFmt numFmtId="61" formatCode="0.0"/>
    <numFmt numFmtId="62" formatCode="#,##0.0%_);[Red]\(#,##0.0%\)"/>
    <numFmt numFmtId="63" formatCode="#,##0.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63" fontId="0" borderId="4" applyNumberFormat="1" applyFont="1" applyFill="0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3" borderId="3" applyNumberFormat="1" applyFont="1" applyFill="0" applyBorder="1" applyAlignment="1" applyProtection="0">
      <alignment vertical="center" wrapText="1" readingOrder="1"/>
    </xf>
    <xf numFmtId="1" fontId="0" borderId="4" applyNumberFormat="1" applyFont="1" applyFill="0" applyBorder="1" applyAlignment="1" applyProtection="0">
      <alignment vertical="top" wrapText="1"/>
    </xf>
    <xf numFmtId="3" fontId="3" borderId="6" applyNumberFormat="1" applyFont="1" applyFill="0" applyBorder="1" applyAlignment="1" applyProtection="0">
      <alignment vertical="center" wrapText="1" readingOrder="1"/>
    </xf>
    <xf numFmtId="0" fontId="0" applyNumberFormat="1" applyFont="1" applyFill="0" applyBorder="0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33333"/>
      <rgbColor rgb="ffb8b8b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58049"/>
          <c:y val="0.0446026"/>
          <c:w val="0.802281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'Capital'!$A$3:$A$23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'Capital'!$E$3:$E$23</c:f>
              <c:numCache>
                <c:ptCount val="21"/>
                <c:pt idx="0">
                  <c:v>-2894.500000</c:v>
                </c:pt>
                <c:pt idx="1">
                  <c:v>-2793.800000</c:v>
                </c:pt>
                <c:pt idx="2">
                  <c:v>-3593.200000</c:v>
                </c:pt>
                <c:pt idx="3">
                  <c:v>2007.400000</c:v>
                </c:pt>
                <c:pt idx="4">
                  <c:v>7363.800000</c:v>
                </c:pt>
                <c:pt idx="5">
                  <c:v>9846.200000</c:v>
                </c:pt>
                <c:pt idx="6">
                  <c:v>10848.400000</c:v>
                </c:pt>
                <c:pt idx="7">
                  <c:v>12847.000000</c:v>
                </c:pt>
                <c:pt idx="8">
                  <c:v>8205.500000</c:v>
                </c:pt>
                <c:pt idx="9">
                  <c:v>11497.600000</c:v>
                </c:pt>
                <c:pt idx="10">
                  <c:v>18911.000000</c:v>
                </c:pt>
                <c:pt idx="11">
                  <c:v>23658.100000</c:v>
                </c:pt>
                <c:pt idx="12">
                  <c:v>28334.600000</c:v>
                </c:pt>
                <c:pt idx="13">
                  <c:v>26709.100000</c:v>
                </c:pt>
                <c:pt idx="14">
                  <c:v>22357.800000</c:v>
                </c:pt>
                <c:pt idx="15">
                  <c:v>19359.800000</c:v>
                </c:pt>
                <c:pt idx="16">
                  <c:v>20376.400000</c:v>
                </c:pt>
                <c:pt idx="17">
                  <c:v>17335.700000</c:v>
                </c:pt>
                <c:pt idx="18">
                  <c:v>19873.200000</c:v>
                </c:pt>
                <c:pt idx="19">
                  <c:v>13389.500000</c:v>
                </c:pt>
                <c:pt idx="20">
                  <c:v>6779.500000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'Capital'!$A$3:$A$23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'Capital'!$F$3:$F$23</c:f>
              <c:numCache>
                <c:ptCount val="21"/>
                <c:pt idx="0">
                  <c:v>-143.500000</c:v>
                </c:pt>
                <c:pt idx="1">
                  <c:v>-609.500000</c:v>
                </c:pt>
                <c:pt idx="2">
                  <c:v>-724.400000</c:v>
                </c:pt>
                <c:pt idx="3">
                  <c:v>-2335.400000</c:v>
                </c:pt>
                <c:pt idx="4">
                  <c:v>-2737.000000</c:v>
                </c:pt>
                <c:pt idx="5">
                  <c:v>-3717.600000</c:v>
                </c:pt>
                <c:pt idx="6">
                  <c:v>-4173.300000</c:v>
                </c:pt>
                <c:pt idx="7">
                  <c:v>-5264.300000</c:v>
                </c:pt>
                <c:pt idx="8">
                  <c:v>-2196.500000</c:v>
                </c:pt>
                <c:pt idx="9">
                  <c:v>-3004.700000</c:v>
                </c:pt>
                <c:pt idx="10">
                  <c:v>849.800000</c:v>
                </c:pt>
                <c:pt idx="11">
                  <c:v>-208.500000</c:v>
                </c:pt>
                <c:pt idx="12">
                  <c:v>-1465.500000</c:v>
                </c:pt>
                <c:pt idx="13">
                  <c:v>-2536.600000</c:v>
                </c:pt>
                <c:pt idx="14">
                  <c:v>-3351.400000</c:v>
                </c:pt>
                <c:pt idx="15">
                  <c:v>-4038.200000</c:v>
                </c:pt>
                <c:pt idx="16">
                  <c:v>-5031.800000</c:v>
                </c:pt>
                <c:pt idx="17">
                  <c:v>-6373.300000</c:v>
                </c:pt>
                <c:pt idx="18">
                  <c:v>-7818.000000</c:v>
                </c:pt>
                <c:pt idx="19">
                  <c:v>-9734.200000</c:v>
                </c:pt>
                <c:pt idx="20">
                  <c:v>-10127.900000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'Capital'!$A$3:$A$23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'Capital'!$G$3:$G$23</c:f>
              <c:numCache>
                <c:ptCount val="21"/>
                <c:pt idx="0">
                  <c:v>-3038.000000</c:v>
                </c:pt>
                <c:pt idx="1">
                  <c:v>-3403.300000</c:v>
                </c:pt>
                <c:pt idx="2">
                  <c:v>-4317.600000</c:v>
                </c:pt>
                <c:pt idx="3">
                  <c:v>-328.000000</c:v>
                </c:pt>
                <c:pt idx="4">
                  <c:v>4626.800000</c:v>
                </c:pt>
                <c:pt idx="5">
                  <c:v>6128.600000</c:v>
                </c:pt>
                <c:pt idx="6">
                  <c:v>6675.100000</c:v>
                </c:pt>
                <c:pt idx="7">
                  <c:v>7582.700000</c:v>
                </c:pt>
                <c:pt idx="8">
                  <c:v>6009.000000</c:v>
                </c:pt>
                <c:pt idx="9">
                  <c:v>8492.900000</c:v>
                </c:pt>
                <c:pt idx="10">
                  <c:v>19760.800000</c:v>
                </c:pt>
                <c:pt idx="11">
                  <c:v>23449.600000</c:v>
                </c:pt>
                <c:pt idx="12">
                  <c:v>26869.100000</c:v>
                </c:pt>
                <c:pt idx="13">
                  <c:v>24172.500000</c:v>
                </c:pt>
                <c:pt idx="14">
                  <c:v>19006.400000</c:v>
                </c:pt>
                <c:pt idx="15">
                  <c:v>15321.600000</c:v>
                </c:pt>
                <c:pt idx="16">
                  <c:v>15344.600000</c:v>
                </c:pt>
                <c:pt idx="17">
                  <c:v>10962.400000</c:v>
                </c:pt>
                <c:pt idx="18">
                  <c:v>12055.200000</c:v>
                </c:pt>
                <c:pt idx="19">
                  <c:v>3655.300000</c:v>
                </c:pt>
                <c:pt idx="20">
                  <c:v>-3348.400000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1250"/>
        <c:minorUnit val="5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773962"/>
          <c:y val="0.0417625"/>
          <c:w val="0.406826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371567</xdr:colOff>
      <xdr:row>1</xdr:row>
      <xdr:rowOff>331470</xdr:rowOff>
    </xdr:from>
    <xdr:to>
      <xdr:col>13</xdr:col>
      <xdr:colOff>238804</xdr:colOff>
      <xdr:row>46</xdr:row>
      <xdr:rowOff>49285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565867" y="558800"/>
          <a:ext cx="8579438" cy="1130148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197809</xdr:colOff>
      <xdr:row>26</xdr:row>
      <xdr:rowOff>175062</xdr:rowOff>
    </xdr:from>
    <xdr:to>
      <xdr:col>5</xdr:col>
      <xdr:colOff>6229</xdr:colOff>
      <xdr:row>39</xdr:row>
      <xdr:rowOff>226687</xdr:rowOff>
    </xdr:to>
    <xdr:graphicFrame>
      <xdr:nvGraphicFramePr>
        <xdr:cNvPr id="4" name="2D Line Chart"/>
        <xdr:cNvGraphicFramePr/>
      </xdr:nvGraphicFramePr>
      <xdr:xfrm>
        <a:off x="1175709" y="6891457"/>
        <a:ext cx="3720021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4766" style="1" customWidth="1"/>
    <col min="2" max="2" width="15.6641" style="1" customWidth="1"/>
    <col min="3" max="6" width="8.4375" style="1" customWidth="1"/>
    <col min="7" max="16384" width="16.3516" style="1" customWidth="1"/>
  </cols>
  <sheetData>
    <row r="1" ht="17.9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s="4"/>
      <c r="D3" s="4"/>
      <c r="E3" t="s" s="5">
        <v>2</v>
      </c>
      <c r="F3" s="4"/>
    </row>
    <row r="4" ht="20.3" customHeight="1">
      <c r="B4" t="s" s="6">
        <v>3</v>
      </c>
      <c r="C4" s="7">
        <f>AVERAGE('Sales'!I25:I28)</f>
        <v>-0.0147823881112069</v>
      </c>
      <c r="D4" s="8"/>
      <c r="E4" s="8"/>
      <c r="F4" s="8">
        <f>AVERAGE(C5:F5)</f>
        <v>0.0275</v>
      </c>
    </row>
    <row r="5" ht="20.1" customHeight="1">
      <c r="B5" t="s" s="9">
        <v>4</v>
      </c>
      <c r="C5" s="10">
        <v>0.03</v>
      </c>
      <c r="D5" s="11">
        <v>0.04</v>
      </c>
      <c r="E5" s="11">
        <v>0.05</v>
      </c>
      <c r="F5" s="11">
        <v>-0.01</v>
      </c>
    </row>
    <row r="6" ht="20.1" customHeight="1">
      <c r="B6" t="s" s="9">
        <v>5</v>
      </c>
      <c r="C6" s="12">
        <f>'Sales'!C28*(1+C5)</f>
        <v>4386.77</v>
      </c>
      <c r="D6" s="13">
        <f>C6*(1+D5)</f>
        <v>4562.2408</v>
      </c>
      <c r="E6" s="13">
        <f>D6*(1+E5)</f>
        <v>4790.35284</v>
      </c>
      <c r="F6" s="13">
        <f>E6*(1+F5)</f>
        <v>4742.4493116</v>
      </c>
    </row>
    <row r="7" ht="20.1" customHeight="1">
      <c r="B7" t="s" s="9">
        <v>6</v>
      </c>
      <c r="C7" s="14">
        <f>AVERAGE('Sales'!K28)</f>
        <v>-0.544612947461413</v>
      </c>
      <c r="D7" s="15">
        <f>C7</f>
        <v>-0.544612947461413</v>
      </c>
      <c r="E7" s="15">
        <f>D7</f>
        <v>-0.544612947461413</v>
      </c>
      <c r="F7" s="15">
        <f>E7</f>
        <v>-0.544612947461413</v>
      </c>
    </row>
    <row r="8" ht="20.1" customHeight="1">
      <c r="B8" t="s" s="9">
        <v>7</v>
      </c>
      <c r="C8" s="16">
        <f>C7*C6</f>
        <v>-2389.0917395353</v>
      </c>
      <c r="D8" s="17">
        <f>D7*D6</f>
        <v>-2484.655409116710</v>
      </c>
      <c r="E8" s="17">
        <f>E7*E6</f>
        <v>-2608.888179572550</v>
      </c>
      <c r="F8" s="17">
        <f>F7*F6</f>
        <v>-2582.799297776830</v>
      </c>
    </row>
    <row r="9" ht="20.1" customHeight="1">
      <c r="B9" t="s" s="9">
        <v>8</v>
      </c>
      <c r="C9" s="16">
        <f>C6+C8</f>
        <v>1997.6782604647</v>
      </c>
      <c r="D9" s="17">
        <f>D6+D8</f>
        <v>2077.585390883290</v>
      </c>
      <c r="E9" s="17">
        <f>E6+E8</f>
        <v>2181.464660427450</v>
      </c>
      <c r="F9" s="17">
        <f>F6+F8</f>
        <v>2159.650013823170</v>
      </c>
    </row>
    <row r="10" ht="20.05" customHeight="1">
      <c r="B10" t="s" s="9">
        <v>9</v>
      </c>
      <c r="C10" s="16">
        <f>AVERAGE('Cashflow '!G17)</f>
        <v>-32</v>
      </c>
      <c r="D10" s="17">
        <f>C10</f>
        <v>-32</v>
      </c>
      <c r="E10" s="17">
        <f>D10</f>
        <v>-32</v>
      </c>
      <c r="F10" s="17">
        <f>E10</f>
        <v>-32</v>
      </c>
    </row>
    <row r="11" ht="20.1" customHeight="1">
      <c r="B11" t="s" s="9">
        <v>10</v>
      </c>
      <c r="C11" s="16">
        <f>C13+C15</f>
        <v>-320.483478139410</v>
      </c>
      <c r="D11" s="17">
        <f>D13+D15</f>
        <v>-344.455617264987</v>
      </c>
      <c r="E11" s="17">
        <f>E13+E15</f>
        <v>-375.619398128235</v>
      </c>
      <c r="F11" s="17">
        <f>F13+F15</f>
        <v>-369.075004146951</v>
      </c>
    </row>
    <row r="12" ht="20.1" customHeight="1">
      <c r="B12" t="s" s="9">
        <v>11</v>
      </c>
      <c r="C12" s="18">
        <v>0.3</v>
      </c>
      <c r="D12" s="19"/>
      <c r="E12" s="19"/>
      <c r="F12" s="19"/>
    </row>
    <row r="13" ht="20.1" customHeight="1">
      <c r="B13" t="s" s="9">
        <v>12</v>
      </c>
      <c r="C13" s="20">
        <f>IF(C22&gt;0,-C22*$C$12,0)</f>
        <v>-320.483478139410</v>
      </c>
      <c r="D13" s="19">
        <f>IF(D22&gt;0,-D22*$C$12,0)</f>
        <v>-344.455617264987</v>
      </c>
      <c r="E13" s="19">
        <f>IF(E22&gt;0,-E22*$C$12,0)</f>
        <v>-375.619398128235</v>
      </c>
      <c r="F13" s="19">
        <f>IF(F22&gt;0,-F22*$C$12,0)</f>
        <v>-369.075004146951</v>
      </c>
    </row>
    <row r="14" ht="20.05" customHeight="1">
      <c r="B14" t="s" s="9">
        <v>13</v>
      </c>
      <c r="C14" s="16">
        <f>C9+C10+C13</f>
        <v>1645.194782325290</v>
      </c>
      <c r="D14" s="17">
        <f>D9+D10+D13</f>
        <v>1701.1297736183</v>
      </c>
      <c r="E14" s="17">
        <f>E9+E10+E13</f>
        <v>1773.845262299220</v>
      </c>
      <c r="F14" s="17">
        <f>F9+F10+F13</f>
        <v>1758.575009676220</v>
      </c>
    </row>
    <row r="15" ht="20.1" customHeight="1">
      <c r="B15" t="s" s="9">
        <v>14</v>
      </c>
      <c r="C15" s="16">
        <f>-MIN(0,C14)</f>
        <v>0</v>
      </c>
      <c r="D15" s="17">
        <f>-MIN(C28,D14)</f>
        <v>0</v>
      </c>
      <c r="E15" s="17">
        <f>-MIN(D28,E14)</f>
        <v>0</v>
      </c>
      <c r="F15" s="17">
        <f>-MIN(E28,F14)</f>
        <v>0</v>
      </c>
    </row>
    <row r="16" ht="20.1" customHeight="1">
      <c r="B16" t="s" s="9">
        <v>15</v>
      </c>
      <c r="C16" s="16">
        <f>'Balance Sheet '!C32</f>
        <v>14099.783</v>
      </c>
      <c r="D16" s="17">
        <f>C18</f>
        <v>15744.9777823253</v>
      </c>
      <c r="E16" s="17">
        <f>D18</f>
        <v>17446.1075559436</v>
      </c>
      <c r="F16" s="17">
        <f>E18</f>
        <v>19219.9528182428</v>
      </c>
    </row>
    <row r="17" ht="20.1" customHeight="1">
      <c r="B17" t="s" s="9">
        <v>16</v>
      </c>
      <c r="C17" s="16">
        <f>C9+C10+C11</f>
        <v>1645.194782325290</v>
      </c>
      <c r="D17" s="17">
        <f>D9+D10+D11</f>
        <v>1701.1297736183</v>
      </c>
      <c r="E17" s="17">
        <f>E9+E10+E11</f>
        <v>1773.845262299220</v>
      </c>
      <c r="F17" s="17">
        <f>F9+F10+F11</f>
        <v>1758.575009676220</v>
      </c>
    </row>
    <row r="18" ht="20.1" customHeight="1">
      <c r="B18" t="s" s="9">
        <v>17</v>
      </c>
      <c r="C18" s="16">
        <f>C16+C17</f>
        <v>15744.9777823253</v>
      </c>
      <c r="D18" s="17">
        <f>D16+D17</f>
        <v>17446.1075559436</v>
      </c>
      <c r="E18" s="17">
        <f>E16+E17</f>
        <v>19219.9528182428</v>
      </c>
      <c r="F18" s="17">
        <f>F16+F17</f>
        <v>20978.527827919</v>
      </c>
    </row>
    <row r="19" ht="20.1" customHeight="1">
      <c r="B19" t="s" s="21">
        <v>18</v>
      </c>
      <c r="C19" s="20"/>
      <c r="D19" s="19"/>
      <c r="E19" s="19"/>
      <c r="F19" s="19"/>
    </row>
    <row r="20" ht="20.1" customHeight="1">
      <c r="B20" t="s" s="9">
        <v>19</v>
      </c>
      <c r="C20" s="16">
        <f>-AVERAGE('Sales'!F28)</f>
        <v>-148.4</v>
      </c>
      <c r="D20" s="17">
        <f>C20</f>
        <v>-148.4</v>
      </c>
      <c r="E20" s="17">
        <f>D20</f>
        <v>-148.4</v>
      </c>
      <c r="F20" s="17">
        <f>E20</f>
        <v>-148.4</v>
      </c>
    </row>
    <row r="21" ht="20.1" customHeight="1">
      <c r="B21" t="s" s="9">
        <v>20</v>
      </c>
      <c r="C21" s="16">
        <f>-AVERAGE('Sales'!E28)</f>
        <v>-781</v>
      </c>
      <c r="D21" s="17">
        <f>C21</f>
        <v>-781</v>
      </c>
      <c r="E21" s="17">
        <f>D21</f>
        <v>-781</v>
      </c>
      <c r="F21" s="17">
        <f>E21</f>
        <v>-781</v>
      </c>
    </row>
    <row r="22" ht="20.1" customHeight="1">
      <c r="B22" t="s" s="9">
        <v>21</v>
      </c>
      <c r="C22" s="16">
        <f>C6+C8+C20+C21</f>
        <v>1068.2782604647</v>
      </c>
      <c r="D22" s="17">
        <f>D6+D8+D20+D21</f>
        <v>1148.185390883290</v>
      </c>
      <c r="E22" s="17">
        <f>E6+E8+E20+E21</f>
        <v>1252.064660427450</v>
      </c>
      <c r="F22" s="17">
        <f>F6+F8+F20+F21</f>
        <v>1230.250013823170</v>
      </c>
    </row>
    <row r="23" ht="20.1" customHeight="1">
      <c r="B23" t="s" s="21">
        <v>22</v>
      </c>
      <c r="C23" s="20"/>
      <c r="D23" s="19"/>
      <c r="E23" s="17"/>
      <c r="F23" s="19"/>
    </row>
    <row r="24" ht="20.1" customHeight="1">
      <c r="B24" t="s" s="9">
        <v>23</v>
      </c>
      <c r="C24" s="16">
        <f>'Balance Sheet '!E32+'Balance Sheet '!F32-C10</f>
        <v>195563.217</v>
      </c>
      <c r="D24" s="17">
        <f>C24-D10</f>
        <v>195595.217</v>
      </c>
      <c r="E24" s="17">
        <f>D24-E10</f>
        <v>195627.217</v>
      </c>
      <c r="F24" s="17">
        <f>E24-F10</f>
        <v>195659.217</v>
      </c>
    </row>
    <row r="25" ht="20.1" customHeight="1">
      <c r="B25" t="s" s="9">
        <v>19</v>
      </c>
      <c r="C25" s="16">
        <f>'Balance Sheet '!F32-C20-C21</f>
        <v>14568.4</v>
      </c>
      <c r="D25" s="17">
        <f>C25-D20-D21</f>
        <v>15497.8</v>
      </c>
      <c r="E25" s="17">
        <f>D25-E20-E21</f>
        <v>16427.2</v>
      </c>
      <c r="F25" s="17">
        <f>E25-F20-F21</f>
        <v>17356.6</v>
      </c>
    </row>
    <row r="26" ht="20.1" customHeight="1">
      <c r="B26" t="s" s="9">
        <v>24</v>
      </c>
      <c r="C26" s="16">
        <f>C24-C25</f>
        <v>180994.817</v>
      </c>
      <c r="D26" s="17">
        <f>D24-D25</f>
        <v>180097.417</v>
      </c>
      <c r="E26" s="17">
        <f>E24-E25</f>
        <v>179200.017</v>
      </c>
      <c r="F26" s="17">
        <f>F24-F25</f>
        <v>178302.617</v>
      </c>
    </row>
    <row r="27" ht="20.1" customHeight="1">
      <c r="B27" t="s" s="9">
        <v>25</v>
      </c>
      <c r="C27" s="16">
        <f>'Balance Sheet '!G32</f>
        <v>150847</v>
      </c>
      <c r="D27" s="17">
        <f>C27</f>
        <v>150847</v>
      </c>
      <c r="E27" s="17">
        <f>D27</f>
        <v>150847</v>
      </c>
      <c r="F27" s="17">
        <f>E27</f>
        <v>150847</v>
      </c>
    </row>
    <row r="28" ht="20.1" customHeight="1">
      <c r="B28" t="s" s="9">
        <v>14</v>
      </c>
      <c r="C28" s="16">
        <f>C15</f>
        <v>0</v>
      </c>
      <c r="D28" s="17">
        <f>C28+D15</f>
        <v>0</v>
      </c>
      <c r="E28" s="17">
        <f>D28+E15</f>
        <v>0</v>
      </c>
      <c r="F28" s="17">
        <f>E28+F15</f>
        <v>0</v>
      </c>
    </row>
    <row r="29" ht="20.1" customHeight="1">
      <c r="B29" t="s" s="9">
        <v>26</v>
      </c>
      <c r="C29" s="16">
        <f>'Balance Sheet '!H32+C22+C13</f>
        <v>45892.7947823253</v>
      </c>
      <c r="D29" s="17">
        <f>C29+D22+D13</f>
        <v>46696.5245559436</v>
      </c>
      <c r="E29" s="17">
        <f>D29+E22+E13</f>
        <v>47572.9698182428</v>
      </c>
      <c r="F29" s="17">
        <f>E29+F22+F13</f>
        <v>48434.144827919</v>
      </c>
    </row>
    <row r="30" ht="20.1" customHeight="1">
      <c r="B30" t="s" s="9">
        <v>27</v>
      </c>
      <c r="C30" s="16">
        <f>C18+C26-C27-C28-C29</f>
        <v>0</v>
      </c>
      <c r="D30" s="17">
        <f>D18+D26-D27-D28-D29</f>
        <v>0</v>
      </c>
      <c r="E30" s="17">
        <f>E18+E26-E27-E28-E29</f>
        <v>0</v>
      </c>
      <c r="F30" s="17">
        <f>F18+F26-F27-F28-F29</f>
        <v>0</v>
      </c>
    </row>
    <row r="31" ht="20.1" customHeight="1">
      <c r="B31" t="s" s="21">
        <v>28</v>
      </c>
      <c r="C31" s="16"/>
      <c r="D31" s="17"/>
      <c r="E31" s="17"/>
      <c r="F31" s="17"/>
    </row>
    <row r="32" ht="20.1" customHeight="1">
      <c r="B32" t="s" s="9">
        <v>29</v>
      </c>
      <c r="C32" s="16">
        <f>'Cashflow '!O32-C11</f>
        <v>27040.4504781394</v>
      </c>
      <c r="D32" s="17">
        <f>C32-D11</f>
        <v>27384.9060954044</v>
      </c>
      <c r="E32" s="17">
        <f>D32-E11</f>
        <v>27760.5254935326</v>
      </c>
      <c r="F32" s="17">
        <f>E32-F11</f>
        <v>28129.6004976796</v>
      </c>
    </row>
    <row r="33" ht="20.1" customHeight="1">
      <c r="B33" t="s" s="9">
        <v>30</v>
      </c>
      <c r="C33" s="16"/>
      <c r="D33" s="17"/>
      <c r="E33" s="17"/>
      <c r="F33" s="17">
        <v>24140667432960</v>
      </c>
    </row>
    <row r="34" ht="20.1" customHeight="1">
      <c r="B34" t="s" s="9">
        <v>30</v>
      </c>
      <c r="C34" s="16"/>
      <c r="D34" s="17"/>
      <c r="E34" s="17"/>
      <c r="F34" s="17">
        <f>F33/1000000000</f>
        <v>24140.66743296</v>
      </c>
    </row>
    <row r="35" ht="20.1" customHeight="1">
      <c r="B35" t="s" s="9">
        <v>31</v>
      </c>
      <c r="C35" s="16"/>
      <c r="D35" s="17"/>
      <c r="E35" s="17"/>
      <c r="F35" s="22">
        <f>F34/(F18+F26)</f>
        <v>0.121138743225335</v>
      </c>
    </row>
    <row r="36" ht="20.1" customHeight="1">
      <c r="B36" t="s" s="9">
        <v>32</v>
      </c>
      <c r="C36" s="16"/>
      <c r="D36" s="17"/>
      <c r="E36" s="17"/>
      <c r="F36" s="15">
        <f>-(C13+D13+E13+F13)/F34</f>
        <v>0.0583924823783027</v>
      </c>
    </row>
    <row r="37" ht="20.1" customHeight="1">
      <c r="B37" t="s" s="9">
        <v>3</v>
      </c>
      <c r="C37" s="16"/>
      <c r="D37" s="17"/>
      <c r="E37" s="17"/>
      <c r="F37" s="17">
        <f>SUM(C9:F10)</f>
        <v>8288.378325598611</v>
      </c>
    </row>
    <row r="38" ht="20.1" customHeight="1">
      <c r="B38" t="s" s="9">
        <v>28</v>
      </c>
      <c r="C38" s="16"/>
      <c r="D38" s="17"/>
      <c r="E38" s="17"/>
      <c r="F38" s="17">
        <f>F34/F37</f>
        <v>2.91259236543314</v>
      </c>
    </row>
    <row r="39" ht="20.1" customHeight="1">
      <c r="B39" t="s" s="9">
        <v>33</v>
      </c>
      <c r="C39" s="16"/>
      <c r="D39" s="17"/>
      <c r="E39" s="17"/>
      <c r="F39" s="17">
        <v>5</v>
      </c>
    </row>
    <row r="40" ht="20.1" customHeight="1">
      <c r="B40" t="s" s="9">
        <v>34</v>
      </c>
      <c r="C40" s="16"/>
      <c r="D40" s="17"/>
      <c r="E40" s="17"/>
      <c r="F40" s="17">
        <f>F37*F39</f>
        <v>41441.8916279931</v>
      </c>
    </row>
    <row r="41" ht="20.1" customHeight="1">
      <c r="B41" t="s" s="9">
        <v>35</v>
      </c>
      <c r="C41" s="16"/>
      <c r="D41" s="17"/>
      <c r="E41" s="17"/>
      <c r="F41" s="17">
        <f>F34/F43</f>
        <v>9.773549568</v>
      </c>
    </row>
    <row r="42" ht="20.1" customHeight="1">
      <c r="B42" t="s" s="9">
        <v>36</v>
      </c>
      <c r="C42" s="16"/>
      <c r="D42" s="17"/>
      <c r="E42" s="17"/>
      <c r="F42" s="17">
        <f>F40/F41</f>
        <v>4240.208875972740</v>
      </c>
    </row>
    <row r="43" ht="20.1" customHeight="1">
      <c r="B43" t="s" s="9">
        <v>37</v>
      </c>
      <c r="C43" s="16"/>
      <c r="D43" s="17"/>
      <c r="E43" s="17"/>
      <c r="F43" s="17">
        <v>2470</v>
      </c>
    </row>
    <row r="44" ht="20.1" customHeight="1">
      <c r="B44" t="s" s="9">
        <v>38</v>
      </c>
      <c r="C44" s="16"/>
      <c r="D44" s="17"/>
      <c r="E44" s="17"/>
      <c r="F44" s="15">
        <f>F42/F43-1</f>
        <v>0.716683755454551</v>
      </c>
    </row>
    <row r="45" ht="20.1" customHeight="1">
      <c r="B45" t="s" s="9">
        <v>39</v>
      </c>
      <c r="C45" s="16"/>
      <c r="D45" s="17"/>
      <c r="E45" s="17"/>
      <c r="F45" s="15">
        <f>'Sales'!C28/'Sales'!C24-1</f>
        <v>-0.0584516071981253</v>
      </c>
    </row>
    <row r="46" ht="20.1" customHeight="1">
      <c r="B46" t="s" s="9">
        <v>40</v>
      </c>
      <c r="C46" s="16"/>
      <c r="D46" s="17"/>
      <c r="E46" s="17"/>
      <c r="F46" s="15">
        <f>'Sales'!F31/'Sales'!E31-1</f>
        <v>0.0565860530640996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11719" style="23" customWidth="1"/>
    <col min="2" max="2" width="9.92969" style="23" customWidth="1"/>
    <col min="3" max="5" width="9.30469" style="23" customWidth="1"/>
    <col min="6" max="6" width="12.2266" style="23" customWidth="1"/>
    <col min="7" max="12" width="10.5312" style="23" customWidth="1"/>
    <col min="13" max="16384" width="16.3516" style="23" customWidth="1"/>
  </cols>
  <sheetData>
    <row r="1" ht="76.1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44.25" customHeight="1">
      <c r="B3" t="s" s="5">
        <v>1</v>
      </c>
      <c r="C3" t="s" s="5">
        <v>5</v>
      </c>
      <c r="D3" t="s" s="5">
        <v>33</v>
      </c>
      <c r="E3" t="s" s="5">
        <v>41</v>
      </c>
      <c r="F3" t="s" s="5">
        <v>42</v>
      </c>
      <c r="G3" t="s" s="5">
        <v>43</v>
      </c>
      <c r="H3" t="s" s="5">
        <v>44</v>
      </c>
      <c r="I3" t="s" s="5">
        <v>45</v>
      </c>
      <c r="J3" t="s" s="5">
        <v>46</v>
      </c>
      <c r="K3" t="s" s="5">
        <v>46</v>
      </c>
      <c r="L3" t="s" s="5">
        <v>33</v>
      </c>
    </row>
    <row r="4" ht="20.25" customHeight="1">
      <c r="B4" s="24">
        <v>2016</v>
      </c>
      <c r="C4" s="25">
        <v>7071</v>
      </c>
      <c r="D4" s="26"/>
      <c r="E4" s="26">
        <v>2634</v>
      </c>
      <c r="F4" s="26">
        <f>121+28</f>
        <v>149</v>
      </c>
      <c r="G4" s="26">
        <v>845</v>
      </c>
      <c r="H4" s="27">
        <f>C4/'Balance Sheet '!E8</f>
        <v>0.045661717128536</v>
      </c>
      <c r="I4" s="28"/>
      <c r="J4" s="29">
        <f>(G4+F4+E4-C4)/C4</f>
        <v>-0.486918399094895</v>
      </c>
      <c r="K4" s="29"/>
      <c r="L4" s="29"/>
    </row>
    <row r="5" ht="20.05" customHeight="1">
      <c r="B5" s="30"/>
      <c r="C5" s="16">
        <v>5158</v>
      </c>
      <c r="D5" s="17"/>
      <c r="E5" s="17">
        <v>2652</v>
      </c>
      <c r="F5" s="17">
        <f>238+57-F4</f>
        <v>146</v>
      </c>
      <c r="G5" s="17">
        <f>1800-G4</f>
        <v>955</v>
      </c>
      <c r="H5" s="31">
        <f>C5/'Balance Sheet '!E9</f>
        <v>0.0322836656418679</v>
      </c>
      <c r="I5" s="15">
        <f>C5/C4-1</f>
        <v>-0.270541648988828</v>
      </c>
      <c r="J5" s="15">
        <f>(G5+F5+E5-C5)/C5</f>
        <v>-0.272392400155099</v>
      </c>
      <c r="K5" s="15"/>
      <c r="L5" s="15"/>
    </row>
    <row r="6" ht="20.05" customHeight="1">
      <c r="B6" s="30"/>
      <c r="C6" s="16">
        <v>5131</v>
      </c>
      <c r="D6" s="17"/>
      <c r="E6" s="17">
        <v>2624</v>
      </c>
      <c r="F6" s="17">
        <f>350+87-SUM(F4:F5)</f>
        <v>142</v>
      </c>
      <c r="G6" s="17">
        <f>2618-SUM(G4:G5)</f>
        <v>818</v>
      </c>
      <c r="H6" s="31">
        <f>C6/'Balance Sheet '!E10</f>
        <v>0.0317933007902782</v>
      </c>
      <c r="I6" s="15">
        <f>C6/C5-1</f>
        <v>-0.00523458704924389</v>
      </c>
      <c r="J6" s="15">
        <f>(G6+F6+E6-C6)/C6</f>
        <v>-0.30150068212824</v>
      </c>
      <c r="K6" s="15"/>
      <c r="L6" s="15"/>
    </row>
    <row r="7" ht="20.05" customHeight="1">
      <c r="B7" s="30"/>
      <c r="C7" s="16">
        <v>5101</v>
      </c>
      <c r="D7" s="17"/>
      <c r="E7" s="17">
        <v>2431</v>
      </c>
      <c r="F7" s="17">
        <f>464+117-SUM(F4:F6)</f>
        <v>144</v>
      </c>
      <c r="G7" s="17">
        <f>2793-SUM(G4:G6)</f>
        <v>175</v>
      </c>
      <c r="H7" s="31">
        <f>C7/'Balance Sheet '!E11</f>
        <v>0.0320249218054497</v>
      </c>
      <c r="I7" s="15">
        <f>C7/C6-1</f>
        <v>-0.00584681348664978</v>
      </c>
      <c r="J7" s="15">
        <f>(G7+F7+E7-C7)/C7</f>
        <v>-0.460890021564399</v>
      </c>
      <c r="K7" s="15"/>
      <c r="L7" s="15"/>
    </row>
    <row r="8" ht="20.05" customHeight="1">
      <c r="B8" s="32">
        <v>2017</v>
      </c>
      <c r="C8" s="16">
        <v>5014</v>
      </c>
      <c r="D8" s="17"/>
      <c r="E8" s="17">
        <v>1924</v>
      </c>
      <c r="F8" s="17">
        <f>112+31</f>
        <v>143</v>
      </c>
      <c r="G8" s="17">
        <v>1084</v>
      </c>
      <c r="H8" s="31">
        <f>C8/'Balance Sheet '!E12</f>
        <v>0.031627644100063</v>
      </c>
      <c r="I8" s="15">
        <f>C8/C7-1</f>
        <v>-0.0170554793177808</v>
      </c>
      <c r="J8" s="15">
        <f>(G8+F8+E8-C8)/C8</f>
        <v>-0.371559633027523</v>
      </c>
      <c r="K8" s="15"/>
      <c r="L8" s="15"/>
    </row>
    <row r="9" ht="20.05" customHeight="1">
      <c r="B9" s="30"/>
      <c r="C9" s="16">
        <v>5001</v>
      </c>
      <c r="D9" s="17"/>
      <c r="E9" s="17">
        <v>2513</v>
      </c>
      <c r="F9" s="17">
        <f>222+64-F8</f>
        <v>143</v>
      </c>
      <c r="G9" s="17">
        <f>2109-G8</f>
        <v>1025</v>
      </c>
      <c r="H9" s="31">
        <f>C9/'Balance Sheet '!E13</f>
        <v>0.0318716415998532</v>
      </c>
      <c r="I9" s="15">
        <f>C9/C8-1</f>
        <v>-0.00259274032708416</v>
      </c>
      <c r="J9" s="15">
        <f>(G9+F9+E9-C9)/C9</f>
        <v>-0.263947210557888</v>
      </c>
      <c r="K9" s="15"/>
      <c r="L9" s="15"/>
    </row>
    <row r="10" ht="20.05" customHeight="1">
      <c r="B10" s="30"/>
      <c r="C10" s="16">
        <v>4900</v>
      </c>
      <c r="D10" s="17"/>
      <c r="E10" s="17">
        <v>853.9</v>
      </c>
      <c r="F10" s="17">
        <f>319+93-SUM(F8:F9)</f>
        <v>126</v>
      </c>
      <c r="G10" s="17">
        <f>3145-SUM(G8:G9)</f>
        <v>1036</v>
      </c>
      <c r="H10" s="31">
        <f>C10/'Balance Sheet '!E14</f>
        <v>0.0304836131915659</v>
      </c>
      <c r="I10" s="15">
        <f>C10/C9-1</f>
        <v>-0.0201959608078384</v>
      </c>
      <c r="J10" s="15">
        <f>(G10+F10+E10-C10)/C10</f>
        <v>-0.588591836734694</v>
      </c>
      <c r="K10" s="15"/>
      <c r="L10" s="15"/>
    </row>
    <row r="11" ht="20.05" customHeight="1">
      <c r="B11" s="30"/>
      <c r="C11" s="16">
        <v>4968</v>
      </c>
      <c r="D11" s="17"/>
      <c r="E11" s="17">
        <v>1910.1</v>
      </c>
      <c r="F11" s="17">
        <f>432+132-SUM(F8:F10)</f>
        <v>152</v>
      </c>
      <c r="G11" s="17">
        <f>3828-SUM(G8:G10)</f>
        <v>683</v>
      </c>
      <c r="H11" s="31">
        <f>C11/'Balance Sheet '!E15</f>
        <v>0.0305869988631463</v>
      </c>
      <c r="I11" s="15">
        <f>C11/C10-1</f>
        <v>0.0138775510204082</v>
      </c>
      <c r="J11" s="15">
        <f>(G11+F11+E11-C11)/C11</f>
        <v>-0.447443639291465</v>
      </c>
      <c r="K11" s="15"/>
      <c r="L11" s="15"/>
    </row>
    <row r="12" ht="20.05" customHeight="1">
      <c r="B12" s="32">
        <v>2018</v>
      </c>
      <c r="C12" s="16">
        <v>5016</v>
      </c>
      <c r="D12" s="17"/>
      <c r="E12" s="17">
        <v>1874</v>
      </c>
      <c r="F12" s="17">
        <f>92+41</f>
        <v>133</v>
      </c>
      <c r="G12" s="17">
        <v>1089</v>
      </c>
      <c r="H12" s="31">
        <f>C12/'Balance Sheet '!E16</f>
        <v>0.0302571587044073</v>
      </c>
      <c r="I12" s="15">
        <f>C12/C11-1</f>
        <v>0.00966183574879227</v>
      </c>
      <c r="J12" s="15">
        <f>(G12+F12+E12-C12)/C12</f>
        <v>-0.382775119617225</v>
      </c>
      <c r="K12" s="15">
        <f>AVERAGE(J9:J12)</f>
        <v>-0.420689451550318</v>
      </c>
      <c r="L12" s="15"/>
    </row>
    <row r="13" ht="20.05" customHeight="1">
      <c r="B13" s="30"/>
      <c r="C13" s="16">
        <v>5034</v>
      </c>
      <c r="D13" s="17"/>
      <c r="E13" s="17">
        <v>2611</v>
      </c>
      <c r="F13" s="17">
        <f>179+78-F12</f>
        <v>124</v>
      </c>
      <c r="G13" s="17">
        <f>2100-G12</f>
        <v>1011</v>
      </c>
      <c r="H13" s="31">
        <f>C13/'Balance Sheet '!E17</f>
        <v>0.0299598363219272</v>
      </c>
      <c r="I13" s="15">
        <f>C13/C12-1</f>
        <v>0.00358851674641148</v>
      </c>
      <c r="J13" s="15">
        <f>(G13+F13+E13-C13)/C13</f>
        <v>-0.255860150973381</v>
      </c>
      <c r="K13" s="15">
        <f>AVERAGE(J10:J13)</f>
        <v>-0.418667686654191</v>
      </c>
      <c r="L13" s="15"/>
    </row>
    <row r="14" ht="20.05" customHeight="1">
      <c r="B14" s="30"/>
      <c r="C14" s="16">
        <v>4987</v>
      </c>
      <c r="D14" s="17"/>
      <c r="E14" s="17">
        <v>759.7</v>
      </c>
      <c r="F14" s="17">
        <f>263+117-SUM(F12:F13)</f>
        <v>123</v>
      </c>
      <c r="G14" s="17">
        <f>3174-SUM(G12:G13)</f>
        <v>1074</v>
      </c>
      <c r="H14" s="31">
        <f>C14/'Balance Sheet '!E18</f>
        <v>0.0301287525385453</v>
      </c>
      <c r="I14" s="15">
        <f>C14/C13-1</f>
        <v>-0.00933651172030195</v>
      </c>
      <c r="J14" s="15">
        <f>(G14+F14+E14-C14)/C14</f>
        <v>-0.607639863645478</v>
      </c>
      <c r="K14" s="15">
        <f>AVERAGE(J11:J14)</f>
        <v>-0.423429693381887</v>
      </c>
      <c r="L14" s="15"/>
    </row>
    <row r="15" ht="20.05" customHeight="1">
      <c r="B15" s="30"/>
      <c r="C15" s="16">
        <v>5135</v>
      </c>
      <c r="D15" s="17"/>
      <c r="E15" s="17">
        <v>1718.1</v>
      </c>
      <c r="F15" s="17">
        <f>353+160-SUM(F12:F14)</f>
        <v>133</v>
      </c>
      <c r="G15" s="17">
        <f>4107-SUM(G12:G14)</f>
        <v>933</v>
      </c>
      <c r="H15" s="31">
        <f>C15/'Balance Sheet '!E19</f>
        <v>0.0306143406872338</v>
      </c>
      <c r="I15" s="15">
        <f>C15/C14-1</f>
        <v>0.0296771606176058</v>
      </c>
      <c r="J15" s="15">
        <f>(G15+F15+E15-C15)/C15</f>
        <v>-0.457818889970789</v>
      </c>
      <c r="K15" s="15">
        <f>AVERAGE(J12:J15)</f>
        <v>-0.426023506051718</v>
      </c>
      <c r="L15" s="15"/>
    </row>
    <row r="16" ht="20.05" customHeight="1">
      <c r="B16" s="32">
        <v>2019</v>
      </c>
      <c r="C16" s="16">
        <v>5190</v>
      </c>
      <c r="D16" s="17"/>
      <c r="E16" s="17">
        <v>1689</v>
      </c>
      <c r="F16" s="17">
        <f>81+48</f>
        <v>129</v>
      </c>
      <c r="G16" s="17">
        <v>980</v>
      </c>
      <c r="H16" s="31">
        <f>C16/'Balance Sheet '!E20</f>
        <v>0.0305802559372981</v>
      </c>
      <c r="I16" s="15">
        <f>C16/C15-1</f>
        <v>0.0107108081791626</v>
      </c>
      <c r="J16" s="15">
        <f>(G16+F16+E16-C16)/C16</f>
        <v>-0.460886319845857</v>
      </c>
      <c r="K16" s="15">
        <f>AVERAGE(J13:J16)</f>
        <v>-0.445551306108876</v>
      </c>
      <c r="L16" s="15"/>
    </row>
    <row r="17" ht="20.05" customHeight="1">
      <c r="B17" s="30"/>
      <c r="C17" s="16">
        <v>5395</v>
      </c>
      <c r="D17" s="17"/>
      <c r="E17" s="17">
        <v>1857</v>
      </c>
      <c r="F17" s="17">
        <f>160+102-F16</f>
        <v>133</v>
      </c>
      <c r="G17" s="17">
        <f>1911-G16</f>
        <v>931</v>
      </c>
      <c r="H17" s="31">
        <f>C17/'Balance Sheet '!E21</f>
        <v>0.0300334821832421</v>
      </c>
      <c r="I17" s="15">
        <f>C17/C16-1</f>
        <v>0.0394990366088632</v>
      </c>
      <c r="J17" s="15">
        <f>(G17+F17+E17-C17)/C17</f>
        <v>-0.458572752548656</v>
      </c>
      <c r="K17" s="15">
        <f>AVERAGE(J14:J17)</f>
        <v>-0.496229456502695</v>
      </c>
      <c r="L17" s="15"/>
    </row>
    <row r="18" ht="20.05" customHeight="1">
      <c r="B18" s="30"/>
      <c r="C18" s="16">
        <v>5526</v>
      </c>
      <c r="D18" s="17"/>
      <c r="E18" s="17">
        <v>2080</v>
      </c>
      <c r="F18" s="17">
        <f>236+153-SUM(F16:F17)</f>
        <v>127</v>
      </c>
      <c r="G18" s="17">
        <f>2280-SUM(G16:G17)</f>
        <v>369</v>
      </c>
      <c r="H18" s="31">
        <f>C18/'Balance Sheet '!E22</f>
        <v>0.0301508146367091</v>
      </c>
      <c r="I18" s="15">
        <f>C18/C17-1</f>
        <v>0.0242817423540315</v>
      </c>
      <c r="J18" s="15">
        <f>(G18+F18+E18-C18)/C18</f>
        <v>-0.533840028954035</v>
      </c>
      <c r="K18" s="15">
        <f>AVERAGE(J15:J18)</f>
        <v>-0.477779497829834</v>
      </c>
      <c r="L18" s="15"/>
    </row>
    <row r="19" ht="20.05" customHeight="1">
      <c r="B19" s="30"/>
      <c r="C19" s="16">
        <v>5859</v>
      </c>
      <c r="D19" s="17"/>
      <c r="E19" s="17">
        <v>2866</v>
      </c>
      <c r="F19" s="17">
        <f>310+196-SUM(F16:F18)</f>
        <v>117</v>
      </c>
      <c r="G19" s="17">
        <f>4240.6-SUM(G16:G18)</f>
        <v>1960.6</v>
      </c>
      <c r="H19" s="31">
        <f>C19/'Balance Sheet '!E23</f>
        <v>0.0324674155211314</v>
      </c>
      <c r="I19" s="15">
        <f>C19/C18-1</f>
        <v>0.0602605863192182</v>
      </c>
      <c r="J19" s="15">
        <f>(G19+F19+E19-C19)/C19</f>
        <v>-0.156238265915685</v>
      </c>
      <c r="K19" s="15">
        <f>AVERAGE(J16:J19)</f>
        <v>-0.402384341816058</v>
      </c>
      <c r="L19" s="15"/>
    </row>
    <row r="20" ht="20.05" customHeight="1">
      <c r="B20" s="32">
        <v>2020</v>
      </c>
      <c r="C20" s="16">
        <v>5540</v>
      </c>
      <c r="D20" s="17"/>
      <c r="E20" s="17">
        <v>2792</v>
      </c>
      <c r="F20" s="17">
        <f>122+50</f>
        <v>172</v>
      </c>
      <c r="G20" s="33">
        <v>1287</v>
      </c>
      <c r="H20" s="31">
        <f>C20/'Balance Sheet '!E24</f>
        <v>0.0290295763699248</v>
      </c>
      <c r="I20" s="15">
        <f>C20/C19-1</f>
        <v>-0.0544461512203448</v>
      </c>
      <c r="J20" s="15">
        <f>(G20+F20+E20-C20)/C20</f>
        <v>-0.232671480144404</v>
      </c>
      <c r="K20" s="15">
        <f>AVERAGE(J17:J20)</f>
        <v>-0.345330631890695</v>
      </c>
      <c r="L20" s="15"/>
    </row>
    <row r="21" ht="20.05" customHeight="1">
      <c r="B21" s="30"/>
      <c r="C21" s="16">
        <v>5154</v>
      </c>
      <c r="D21" s="17"/>
      <c r="E21" s="17">
        <v>2878</v>
      </c>
      <c r="F21" s="17">
        <f>240+102-F20</f>
        <v>170</v>
      </c>
      <c r="G21" s="33">
        <f>892-G20</f>
        <v>-395</v>
      </c>
      <c r="H21" s="31">
        <f>C21/'Balance Sheet '!E25</f>
        <v>0.0285961821267204</v>
      </c>
      <c r="I21" s="15">
        <f>C21/C20-1</f>
        <v>-0.0696750902527076</v>
      </c>
      <c r="J21" s="15">
        <f>(G21+F21+E21-C21)/C21</f>
        <v>-0.485254171517268</v>
      </c>
      <c r="K21" s="15">
        <f>AVERAGE(J18:J21)</f>
        <v>-0.352000986632848</v>
      </c>
      <c r="L21" s="15"/>
    </row>
    <row r="22" ht="20.05" customHeight="1">
      <c r="B22" s="30"/>
      <c r="C22" s="16">
        <v>5072</v>
      </c>
      <c r="D22" s="17"/>
      <c r="E22" s="17">
        <v>1864</v>
      </c>
      <c r="F22" s="17">
        <f>351+152-SUM(F20:F21)</f>
        <v>161</v>
      </c>
      <c r="G22" s="33">
        <f>1541-SUM(G20:G21)</f>
        <v>649</v>
      </c>
      <c r="H22" s="31">
        <f>C22/'Balance Sheet '!E26</f>
        <v>0.0272444997305819</v>
      </c>
      <c r="I22" s="15">
        <f>C22/C21-1</f>
        <v>-0.0159099728366317</v>
      </c>
      <c r="J22" s="15">
        <f>(G22+F22+E22-C22)/C22</f>
        <v>-0.472791798107256</v>
      </c>
      <c r="K22" s="15">
        <f>AVERAGE(J19:J22)</f>
        <v>-0.336738928921153</v>
      </c>
      <c r="L22" s="15"/>
    </row>
    <row r="23" ht="20.05" customHeight="1">
      <c r="B23" s="30"/>
      <c r="C23" s="16">
        <v>4322</v>
      </c>
      <c r="D23" s="17"/>
      <c r="E23" s="17">
        <v>3198</v>
      </c>
      <c r="F23" s="17">
        <v>156</v>
      </c>
      <c r="G23" s="33">
        <v>-452</v>
      </c>
      <c r="H23" s="31">
        <f>C23/'Balance Sheet '!E27</f>
        <v>0.0234648854693979</v>
      </c>
      <c r="I23" s="15">
        <f>C23/C22-1</f>
        <v>-0.147870662460568</v>
      </c>
      <c r="J23" s="15">
        <f>(G23+F23+E23-C23)/C23</f>
        <v>-0.32855159648311</v>
      </c>
      <c r="K23" s="15">
        <f>AVERAGE(J20:J23)</f>
        <v>-0.37981726156301</v>
      </c>
      <c r="L23" s="15"/>
    </row>
    <row r="24" ht="20.05" customHeight="1">
      <c r="B24" s="32">
        <v>2021</v>
      </c>
      <c r="C24" s="16">
        <f>4523.4</f>
        <v>4523.4</v>
      </c>
      <c r="D24" s="17"/>
      <c r="E24" s="17">
        <v>1218.2</v>
      </c>
      <c r="F24" s="17">
        <f>109+50.7</f>
        <v>159.7</v>
      </c>
      <c r="G24" s="17">
        <v>538.6</v>
      </c>
      <c r="H24" s="31">
        <f>C24/'Balance Sheet '!E28</f>
        <v>0.0245928154433486</v>
      </c>
      <c r="I24" s="15">
        <f>C24/C23-1</f>
        <v>0.0465987968533087</v>
      </c>
      <c r="J24" s="15">
        <f>(G24+F24+E24-C24)/C24</f>
        <v>-0.57631427687138</v>
      </c>
      <c r="K24" s="15">
        <f>AVERAGE(J21:J24)</f>
        <v>-0.465727960744754</v>
      </c>
      <c r="L24" s="15"/>
    </row>
    <row r="25" ht="20.05" customHeight="1">
      <c r="B25" s="30"/>
      <c r="C25" s="16">
        <f>9062.8-C24</f>
        <v>4539.4</v>
      </c>
      <c r="D25" s="17"/>
      <c r="E25" s="17">
        <f>2615-E24</f>
        <v>1396.8</v>
      </c>
      <c r="F25" s="17">
        <f>209.7+106.4-F24</f>
        <v>156.4</v>
      </c>
      <c r="G25" s="19">
        <f>1035.4-G24</f>
        <v>496.8</v>
      </c>
      <c r="H25" s="31">
        <f>C25/'Balance Sheet '!E29</f>
        <v>0.0249365493802319</v>
      </c>
      <c r="I25" s="15">
        <f>C25/C24-1</f>
        <v>0.00353716231153557</v>
      </c>
      <c r="J25" s="15">
        <f>(G25+F25+E25-C25)/C25</f>
        <v>-0.548398466757721</v>
      </c>
      <c r="K25" s="15">
        <f>AVERAGE(J22:J25)</f>
        <v>-0.481514034554867</v>
      </c>
      <c r="L25" s="15"/>
    </row>
    <row r="26" ht="20.05" customHeight="1">
      <c r="B26" s="30"/>
      <c r="C26" s="16">
        <f>13410.2-SUM(C24:C25)</f>
        <v>4347.4</v>
      </c>
      <c r="D26" s="17"/>
      <c r="E26" s="17">
        <f>3753.4-SUM(E24:E25)</f>
        <v>1138.4</v>
      </c>
      <c r="F26" s="17">
        <f>162.2+340-SUM(F24:F25)</f>
        <v>186.1</v>
      </c>
      <c r="G26" s="17">
        <f>1468.7-SUM(G24:G25)</f>
        <v>433.3</v>
      </c>
      <c r="H26" s="31">
        <f>C26/'Balance Sheet '!E30</f>
        <v>0.0248791030905358</v>
      </c>
      <c r="I26" s="15">
        <f>C26/C25-1</f>
        <v>-0.0422963387231793</v>
      </c>
      <c r="J26" s="15">
        <f>(G26+F26+E26-C26)/C26</f>
        <v>-0.5956663753047799</v>
      </c>
      <c r="K26" s="15">
        <f>AVERAGE(J23:J26)</f>
        <v>-0.5122326788542479</v>
      </c>
      <c r="L26" s="15"/>
    </row>
    <row r="27" ht="20.05" customHeight="1">
      <c r="B27" s="30"/>
      <c r="C27" s="16">
        <f>17749-SUM(C24:C26)</f>
        <v>4338.8</v>
      </c>
      <c r="D27" s="17"/>
      <c r="E27" s="17">
        <f>5764.1-SUM(E24:E26)</f>
        <v>2010.7</v>
      </c>
      <c r="F27" s="17">
        <f>395.5+221.5-SUM(F24:F26)</f>
        <v>114.8</v>
      </c>
      <c r="G27" s="19">
        <f>1669-G26-G25-G24</f>
        <v>200.3</v>
      </c>
      <c r="H27" s="31">
        <f>C27/'Balance Sheet '!E31</f>
        <v>0.0249387972612639</v>
      </c>
      <c r="I27" s="15">
        <f>C27/C26-1</f>
        <v>-0.00197819386299857</v>
      </c>
      <c r="J27" s="15">
        <f>(G27+F27+E27-C27)/C27</f>
        <v>-0.463953166774223</v>
      </c>
      <c r="K27" s="15">
        <f>AVERAGE(J24:J27)</f>
        <v>-0.5460830714270259</v>
      </c>
      <c r="L27" s="15"/>
    </row>
    <row r="28" ht="20.05" customHeight="1">
      <c r="B28" s="32">
        <v>2022</v>
      </c>
      <c r="C28" s="16">
        <f>4259</f>
        <v>4259</v>
      </c>
      <c r="D28" s="17">
        <v>4500</v>
      </c>
      <c r="E28" s="17">
        <v>781</v>
      </c>
      <c r="F28" s="17">
        <f>88.8+59.6</f>
        <v>148.4</v>
      </c>
      <c r="G28" s="33">
        <v>884</v>
      </c>
      <c r="H28" s="31">
        <f>C28/'Balance Sheet '!E32</f>
        <v>0.0234149655782138</v>
      </c>
      <c r="I28" s="15">
        <f>C28/C27-1</f>
        <v>-0.0183921821701853</v>
      </c>
      <c r="J28" s="15">
        <f>(G28+F28+E28-C28)/C28</f>
        <v>-0.574219300305236</v>
      </c>
      <c r="K28" s="15">
        <f>AVERAGE(J26:J28)</f>
        <v>-0.544612947461413</v>
      </c>
      <c r="L28" s="15">
        <f>K28</f>
        <v>-0.544612947461413</v>
      </c>
    </row>
    <row r="29" ht="20.05" customHeight="1">
      <c r="B29" s="30"/>
      <c r="C29" s="16"/>
      <c r="D29" s="17">
        <f>'Model'!C6</f>
        <v>4386.77</v>
      </c>
      <c r="E29" s="17"/>
      <c r="F29" s="17"/>
      <c r="G29" s="33"/>
      <c r="H29" s="31"/>
      <c r="I29" s="15"/>
      <c r="J29" s="34"/>
      <c r="K29" s="15"/>
      <c r="L29" s="15">
        <f>'Model'!C7</f>
        <v>-0.544612947461413</v>
      </c>
    </row>
    <row r="30" ht="20.05" customHeight="1">
      <c r="B30" s="30"/>
      <c r="C30" s="16"/>
      <c r="D30" s="17">
        <f>'Model'!D6</f>
        <v>4562.2408</v>
      </c>
      <c r="E30" s="34"/>
      <c r="F30" s="17"/>
      <c r="G30" s="33"/>
      <c r="H30" s="31"/>
      <c r="I30" s="15"/>
      <c r="J30" s="34"/>
      <c r="K30" s="15"/>
      <c r="L30" s="15"/>
    </row>
    <row r="31" ht="20.05" customHeight="1">
      <c r="B31" s="30"/>
      <c r="C31" s="16"/>
      <c r="D31" s="17">
        <f>'Model'!E6</f>
        <v>4790.35284</v>
      </c>
      <c r="E31" s="17">
        <f>C28</f>
        <v>4259</v>
      </c>
      <c r="F31" s="17">
        <f>D28</f>
        <v>4500</v>
      </c>
      <c r="G31" s="33"/>
      <c r="H31" s="31"/>
      <c r="I31" s="15"/>
      <c r="J31" s="34"/>
      <c r="K31" s="15"/>
      <c r="L31" s="15"/>
    </row>
    <row r="32" ht="20.05" customHeight="1">
      <c r="B32" s="32">
        <v>2023</v>
      </c>
      <c r="C32" s="16"/>
      <c r="D32" s="17">
        <f>'Model'!F6</f>
        <v>4742.4493116</v>
      </c>
      <c r="E32" s="17"/>
      <c r="F32" s="17"/>
      <c r="G32" s="33"/>
      <c r="H32" s="31"/>
      <c r="I32" s="15"/>
      <c r="J32" s="34"/>
      <c r="K32" s="15"/>
      <c r="L32" s="15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Q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9375" style="35" customWidth="1"/>
    <col min="2" max="17" width="10.9219" style="35" customWidth="1"/>
    <col min="18" max="16384" width="16.3516" style="35" customWidth="1"/>
  </cols>
  <sheetData>
    <row r="1" ht="29.95" customHeight="1"/>
    <row r="2" ht="27.65" customHeight="1">
      <c r="B2" t="s" s="2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32.25" customHeight="1">
      <c r="B3" t="s" s="5">
        <v>1</v>
      </c>
      <c r="C3" t="s" s="5">
        <v>48</v>
      </c>
      <c r="D3" t="s" s="5">
        <v>3</v>
      </c>
      <c r="E3" t="s" s="5">
        <v>49</v>
      </c>
      <c r="F3" t="s" s="5">
        <v>50</v>
      </c>
      <c r="G3" t="s" s="5">
        <v>51</v>
      </c>
      <c r="H3" t="s" s="5">
        <v>52</v>
      </c>
      <c r="I3" t="s" s="5">
        <v>25</v>
      </c>
      <c r="J3" t="s" s="5">
        <v>26</v>
      </c>
      <c r="K3" t="s" s="5">
        <v>10</v>
      </c>
      <c r="L3" t="s" s="5">
        <v>53</v>
      </c>
      <c r="M3" t="s" s="5">
        <v>3</v>
      </c>
      <c r="N3" t="s" s="5">
        <v>33</v>
      </c>
      <c r="O3" t="s" s="5">
        <v>29</v>
      </c>
      <c r="P3" t="s" s="5">
        <v>33</v>
      </c>
      <c r="Q3" s="36"/>
    </row>
    <row r="4" ht="20.25" customHeight="1">
      <c r="B4" s="24">
        <v>2015</v>
      </c>
      <c r="C4" s="25">
        <v>11827</v>
      </c>
      <c r="D4" s="26">
        <v>2802</v>
      </c>
      <c r="E4" s="26">
        <v>-277</v>
      </c>
      <c r="F4" s="26">
        <v>557</v>
      </c>
      <c r="G4" s="26">
        <v>-2255</v>
      </c>
      <c r="H4" s="26"/>
      <c r="I4" s="26">
        <v>-364</v>
      </c>
      <c r="J4" s="26"/>
      <c r="K4" s="26">
        <v>-364</v>
      </c>
      <c r="L4" s="26">
        <f>F4+G4</f>
        <v>-1698</v>
      </c>
      <c r="M4" s="26"/>
      <c r="N4" s="26"/>
      <c r="O4" s="26">
        <f>-K4</f>
        <v>364</v>
      </c>
      <c r="P4" s="26"/>
      <c r="Q4" s="26">
        <v>1</v>
      </c>
    </row>
    <row r="5" ht="20.05" customHeight="1">
      <c r="B5" s="30"/>
      <c r="C5" s="16">
        <f>5771+16320+374+1126-C4</f>
        <v>11764</v>
      </c>
      <c r="D5" s="17">
        <f>5863-D4</f>
        <v>3061</v>
      </c>
      <c r="E5" s="17">
        <f>-523-E4</f>
        <v>-246</v>
      </c>
      <c r="F5" s="17">
        <f>4554-F4</f>
        <v>3997</v>
      </c>
      <c r="G5" s="17">
        <f>-774-G4</f>
        <v>1481</v>
      </c>
      <c r="H5" s="17"/>
      <c r="I5" s="17"/>
      <c r="J5" s="17">
        <v>-781</v>
      </c>
      <c r="K5" s="17">
        <f>-1365-K4</f>
        <v>-1001</v>
      </c>
      <c r="L5" s="17">
        <f>F5+G5</f>
        <v>5478</v>
      </c>
      <c r="M5" s="17"/>
      <c r="N5" s="17"/>
      <c r="O5" s="17">
        <f>-K5+O4</f>
        <v>1365</v>
      </c>
      <c r="P5" s="17"/>
      <c r="Q5" s="17">
        <f>1+Q4</f>
        <v>2</v>
      </c>
    </row>
    <row r="6" ht="20.05" customHeight="1">
      <c r="B6" s="30"/>
      <c r="C6" s="16">
        <f>8115+24634+482+1647-SUM(C4:C5)</f>
        <v>11287</v>
      </c>
      <c r="D6" s="17">
        <f>7758-D5-D4</f>
        <v>1895</v>
      </c>
      <c r="E6" s="17">
        <f>-714-E5-E4</f>
        <v>-191</v>
      </c>
      <c r="F6" s="17">
        <f>4448-SUM(F4:F5)</f>
        <v>-106</v>
      </c>
      <c r="G6" s="17">
        <f>1961-SUM(G4:G5)</f>
        <v>2735</v>
      </c>
      <c r="H6" s="17"/>
      <c r="I6" s="17"/>
      <c r="J6" s="17"/>
      <c r="K6" s="17">
        <f>-1695-SUM(K4:K5)</f>
        <v>-330</v>
      </c>
      <c r="L6" s="17">
        <f>F6+G6</f>
        <v>2629</v>
      </c>
      <c r="M6" s="17"/>
      <c r="N6" s="17"/>
      <c r="O6" s="17">
        <f>-K6+O5</f>
        <v>1695</v>
      </c>
      <c r="P6" s="17"/>
      <c r="Q6" s="17">
        <f>1+Q5</f>
        <v>3</v>
      </c>
    </row>
    <row r="7" ht="20.05" customHeight="1">
      <c r="B7" s="30"/>
      <c r="C7" s="16">
        <f>11294+32694+537+1284-SUM(C4:C6)</f>
        <v>10931</v>
      </c>
      <c r="D7" s="17">
        <f>11266-D6-D5-D4</f>
        <v>3508</v>
      </c>
      <c r="E7" s="17">
        <f>-890-E6-E5-E4</f>
        <v>-176</v>
      </c>
      <c r="F7" s="17">
        <f>8995-SUM(F4:F6)</f>
        <v>4547</v>
      </c>
      <c r="G7" s="17">
        <f>2757-SUM(G4:G6)</f>
        <v>796</v>
      </c>
      <c r="H7" s="17"/>
      <c r="I7" s="17"/>
      <c r="J7" s="17"/>
      <c r="K7" s="17">
        <f>-5166-SUM(K4:K6)</f>
        <v>-3471</v>
      </c>
      <c r="L7" s="17">
        <f>F7+G7</f>
        <v>5343</v>
      </c>
      <c r="M7" s="17"/>
      <c r="N7" s="17"/>
      <c r="O7" s="17">
        <f>-K7+O6</f>
        <v>5166</v>
      </c>
      <c r="P7" s="17"/>
      <c r="Q7" s="17">
        <f>1+Q6</f>
        <v>4</v>
      </c>
    </row>
    <row r="8" ht="20.05" customHeight="1">
      <c r="B8" s="32">
        <v>2016</v>
      </c>
      <c r="C8" s="16">
        <f>2673+7930+189+313</f>
        <v>11105</v>
      </c>
      <c r="D8" s="17">
        <v>2644</v>
      </c>
      <c r="E8" s="17">
        <v>-136</v>
      </c>
      <c r="F8" s="17">
        <v>-592</v>
      </c>
      <c r="G8" s="17">
        <v>-4817</v>
      </c>
      <c r="H8" s="17"/>
      <c r="I8" s="17">
        <v>-2056</v>
      </c>
      <c r="J8" s="17"/>
      <c r="K8" s="17">
        <v>-2056</v>
      </c>
      <c r="L8" s="17">
        <f>F8+G8</f>
        <v>-5409</v>
      </c>
      <c r="M8" s="17">
        <f>AVERAGE(L5:L8)</f>
        <v>2010.25</v>
      </c>
      <c r="N8" s="17"/>
      <c r="O8" s="17">
        <f>-K8+O7</f>
        <v>7222</v>
      </c>
      <c r="P8" s="17"/>
      <c r="Q8" s="17">
        <f>1+Q7</f>
        <v>5</v>
      </c>
    </row>
    <row r="9" ht="20.05" customHeight="1">
      <c r="B9" s="30"/>
      <c r="C9" s="16">
        <f>5700+14444+337+596-C8</f>
        <v>9972</v>
      </c>
      <c r="D9" s="17">
        <f>3222-D8</f>
        <v>578</v>
      </c>
      <c r="E9" s="17">
        <f>-273-E8</f>
        <v>-137</v>
      </c>
      <c r="F9" s="17">
        <f>-4390-F8</f>
        <v>-3798</v>
      </c>
      <c r="G9" s="17">
        <f>-11100-G8</f>
        <v>-6283</v>
      </c>
      <c r="H9" s="17"/>
      <c r="I9" s="17"/>
      <c r="J9" s="17">
        <v>-718</v>
      </c>
      <c r="K9" s="17">
        <f>-1366-K8</f>
        <v>690</v>
      </c>
      <c r="L9" s="17">
        <f>F9+G9</f>
        <v>-10081</v>
      </c>
      <c r="M9" s="17">
        <f>AVERAGE(L6:L9)</f>
        <v>-1879.5</v>
      </c>
      <c r="N9" s="17"/>
      <c r="O9" s="17">
        <f>-K9+O8</f>
        <v>6532</v>
      </c>
      <c r="P9" s="17"/>
      <c r="Q9" s="17">
        <f>1+Q8</f>
        <v>6</v>
      </c>
    </row>
    <row r="10" ht="20.05" customHeight="1">
      <c r="B10" s="30"/>
      <c r="C10" s="16">
        <f>7995+20756+506+972-SUM(C8:C9)</f>
        <v>9152</v>
      </c>
      <c r="D10" s="17">
        <f>5327-D9-D8</f>
        <v>2105</v>
      </c>
      <c r="E10" s="17">
        <f>-503-E9-E8</f>
        <v>-230</v>
      </c>
      <c r="F10" s="17">
        <f>-2934-SUM(F8:F9)</f>
        <v>1456</v>
      </c>
      <c r="G10" s="17">
        <f>-13752-SUM(G8:G9)</f>
        <v>-2652</v>
      </c>
      <c r="H10" s="17"/>
      <c r="I10" s="17"/>
      <c r="J10" s="17"/>
      <c r="K10" s="17">
        <f>-1957-SUM(K8:K9)</f>
        <v>-591</v>
      </c>
      <c r="L10" s="17">
        <f>F10+G10</f>
        <v>-1196</v>
      </c>
      <c r="M10" s="17">
        <f>AVERAGE(L7:L10)</f>
        <v>-2835.75</v>
      </c>
      <c r="N10" s="17"/>
      <c r="O10" s="17">
        <f>-K10+O9</f>
        <v>7123</v>
      </c>
      <c r="P10" s="17"/>
      <c r="Q10" s="17">
        <f>1+Q9</f>
        <v>7</v>
      </c>
    </row>
    <row r="11" ht="20.05" customHeight="1">
      <c r="B11" s="30"/>
      <c r="C11" s="16">
        <f>10457+27952+754+1275-SUM(C8:C10)</f>
        <v>10209</v>
      </c>
      <c r="D11" s="17">
        <f>5961-D10-D9-D8</f>
        <v>634</v>
      </c>
      <c r="E11" s="17">
        <f>-651-E10-E9-E8</f>
        <v>-148</v>
      </c>
      <c r="F11" s="17">
        <f>-446-SUM(F8:F10)</f>
        <v>2488</v>
      </c>
      <c r="G11" s="17">
        <f>-12658-SUM(G8:G10)</f>
        <v>1094</v>
      </c>
      <c r="H11" s="17"/>
      <c r="I11" s="17"/>
      <c r="J11" s="17"/>
      <c r="K11" s="17">
        <f>-3685-SUM(K8:K10)</f>
        <v>-1728</v>
      </c>
      <c r="L11" s="17">
        <f>F11+G11</f>
        <v>3582</v>
      </c>
      <c r="M11" s="17">
        <f>AVERAGE(L8:L11)</f>
        <v>-3276</v>
      </c>
      <c r="N11" s="17"/>
      <c r="O11" s="17">
        <f>-K11+O10</f>
        <v>8851</v>
      </c>
      <c r="P11" s="17"/>
      <c r="Q11" s="17">
        <f>1+Q10</f>
        <v>8</v>
      </c>
    </row>
    <row r="12" ht="20.05" customHeight="1">
      <c r="B12" s="32">
        <v>2017</v>
      </c>
      <c r="C12" s="16">
        <f>2568+10350+3233+175+266</f>
        <v>16592</v>
      </c>
      <c r="D12" s="17">
        <v>2387</v>
      </c>
      <c r="E12" s="17">
        <v>-157</v>
      </c>
      <c r="F12" s="17">
        <v>-861</v>
      </c>
      <c r="G12" s="17">
        <v>-1914</v>
      </c>
      <c r="H12" s="17"/>
      <c r="I12" s="17">
        <v>254.15725</v>
      </c>
      <c r="J12" s="17">
        <v>-248.40725</v>
      </c>
      <c r="K12" s="17">
        <v>213</v>
      </c>
      <c r="L12" s="17">
        <f>F12+G12</f>
        <v>-2775</v>
      </c>
      <c r="M12" s="17">
        <f>AVERAGE(L9:L12)</f>
        <v>-2617.5</v>
      </c>
      <c r="N12" s="17"/>
      <c r="O12" s="17">
        <f>-K12+O11</f>
        <v>8638</v>
      </c>
      <c r="P12" s="17"/>
      <c r="Q12" s="17">
        <f>1+Q11</f>
        <v>9</v>
      </c>
    </row>
    <row r="13" ht="20.05" customHeight="1">
      <c r="B13" s="30"/>
      <c r="C13" s="16">
        <f>5628+20069+6160+360+506-C12</f>
        <v>16131</v>
      </c>
      <c r="D13" s="17">
        <v>326</v>
      </c>
      <c r="E13" s="17">
        <v>-94</v>
      </c>
      <c r="F13" s="17">
        <f>2839-F12</f>
        <v>3700</v>
      </c>
      <c r="G13" s="17">
        <f>11-G12</f>
        <v>1925</v>
      </c>
      <c r="H13" s="17"/>
      <c r="I13" s="17">
        <v>254.15725</v>
      </c>
      <c r="J13" s="17">
        <v>-248.40725</v>
      </c>
      <c r="K13" s="17">
        <f>1172-K12</f>
        <v>959</v>
      </c>
      <c r="L13" s="17">
        <f>F13+G13</f>
        <v>5625</v>
      </c>
      <c r="M13" s="17">
        <f>AVERAGE(L10:L13)</f>
        <v>1309</v>
      </c>
      <c r="N13" s="17"/>
      <c r="O13" s="17">
        <f>-K13+O12</f>
        <v>7679</v>
      </c>
      <c r="P13" s="17"/>
      <c r="Q13" s="17">
        <f>1+Q12</f>
        <v>10</v>
      </c>
    </row>
    <row r="14" ht="20.05" customHeight="1">
      <c r="B14" s="30"/>
      <c r="C14" s="16">
        <f>7666+30801+9528+543+706-SUM(C12:C13)</f>
        <v>16521</v>
      </c>
      <c r="D14" s="17">
        <v>-287</v>
      </c>
      <c r="E14" s="17">
        <v>-70</v>
      </c>
      <c r="F14" s="17">
        <f>-616-SUM(F12:F13)</f>
        <v>-3455</v>
      </c>
      <c r="G14" s="17">
        <f>-980-SUM(G12:G13)</f>
        <v>-991</v>
      </c>
      <c r="H14" s="17"/>
      <c r="I14" s="17">
        <v>254.15725</v>
      </c>
      <c r="J14" s="17">
        <v>-248.40725</v>
      </c>
      <c r="K14" s="17">
        <f>-695-SUM(K12:K13)</f>
        <v>-1867</v>
      </c>
      <c r="L14" s="17">
        <f>F14+G14</f>
        <v>-4446</v>
      </c>
      <c r="M14" s="17">
        <f>AVERAGE(L11:L14)</f>
        <v>496.5</v>
      </c>
      <c r="N14" s="17"/>
      <c r="O14" s="17">
        <f>-K14+O13</f>
        <v>9546</v>
      </c>
      <c r="P14" s="17"/>
      <c r="Q14" s="17">
        <f>1+Q13</f>
        <v>11</v>
      </c>
    </row>
    <row r="15" ht="20.05" customHeight="1">
      <c r="B15" s="30"/>
      <c r="C15" s="16">
        <f>11758+41151+12565+775-SUM(C12:C14)</f>
        <v>17005</v>
      </c>
      <c r="D15" s="17">
        <v>4102</v>
      </c>
      <c r="E15" s="17">
        <v>-166</v>
      </c>
      <c r="F15" s="17">
        <f>3748.6-SUM(F12:F14)</f>
        <v>4364.6</v>
      </c>
      <c r="G15" s="17">
        <f>-3189-SUM(G12:G14)</f>
        <v>-2209</v>
      </c>
      <c r="H15" s="17"/>
      <c r="I15" s="17">
        <v>254.15725</v>
      </c>
      <c r="J15" s="17">
        <v>-248.40725</v>
      </c>
      <c r="K15" s="17">
        <f>23-SUM(K12:K14)</f>
        <v>718</v>
      </c>
      <c r="L15" s="17">
        <f>F15+G15</f>
        <v>2155.6</v>
      </c>
      <c r="M15" s="17">
        <f>AVERAGE(L12:L15)</f>
        <v>139.9</v>
      </c>
      <c r="N15" s="17"/>
      <c r="O15" s="17">
        <f>-K15+O14</f>
        <v>8828</v>
      </c>
      <c r="P15" s="17"/>
      <c r="Q15" s="17">
        <f>1+Q14</f>
        <v>12</v>
      </c>
    </row>
    <row r="16" ht="20.05" customHeight="1">
      <c r="B16" s="32">
        <v>2018</v>
      </c>
      <c r="C16" s="16">
        <f>2719+10387+3022+239+214</f>
        <v>16581</v>
      </c>
      <c r="D16" s="17">
        <v>7</v>
      </c>
      <c r="E16" s="17">
        <v>-85</v>
      </c>
      <c r="F16" s="17">
        <v>-1759</v>
      </c>
      <c r="G16" s="17">
        <v>-1899</v>
      </c>
      <c r="H16" s="17"/>
      <c r="I16" s="17">
        <v>-760.17675</v>
      </c>
      <c r="J16" s="17">
        <v>-335.364</v>
      </c>
      <c r="K16" s="17">
        <v>1534</v>
      </c>
      <c r="L16" s="17">
        <f>F16+G16</f>
        <v>-3658</v>
      </c>
      <c r="M16" s="17">
        <f>AVERAGE(L13:L16)</f>
        <v>-80.84999999999999</v>
      </c>
      <c r="N16" s="17"/>
      <c r="O16" s="17">
        <f>-K16+O15</f>
        <v>7294</v>
      </c>
      <c r="P16" s="17"/>
      <c r="Q16" s="17">
        <f>1+Q15</f>
        <v>13</v>
      </c>
    </row>
    <row r="17" ht="20.05" customHeight="1">
      <c r="B17" s="30"/>
      <c r="C17" s="16">
        <f>7966+20337+8366+546+668-C16</f>
        <v>21302</v>
      </c>
      <c r="D17" s="17">
        <v>5677</v>
      </c>
      <c r="E17" s="17">
        <v>-51</v>
      </c>
      <c r="F17" s="17">
        <f>3591-F16</f>
        <v>5350</v>
      </c>
      <c r="G17" s="17">
        <f>-1931-G16</f>
        <v>-32</v>
      </c>
      <c r="H17" s="17"/>
      <c r="I17" s="17">
        <v>-760.17675</v>
      </c>
      <c r="J17" s="17">
        <v>-335.364</v>
      </c>
      <c r="K17" s="17">
        <f>-3262-K16</f>
        <v>-4796</v>
      </c>
      <c r="L17" s="17">
        <f>F17+G17</f>
        <v>5318</v>
      </c>
      <c r="M17" s="17">
        <f>AVERAGE(L14:L17)</f>
        <v>-157.6</v>
      </c>
      <c r="N17" s="17"/>
      <c r="O17" s="17">
        <f>-K17+O16</f>
        <v>12090</v>
      </c>
      <c r="P17" s="17"/>
      <c r="Q17" s="17">
        <f>1+Q16</f>
        <v>14</v>
      </c>
    </row>
    <row r="18" ht="20.05" customHeight="1">
      <c r="B18" s="30"/>
      <c r="C18" s="16">
        <f>7539+31119+12862+856-SUM(C16:C17)</f>
        <v>14493</v>
      </c>
      <c r="D18" s="17">
        <v>-2639</v>
      </c>
      <c r="E18" s="17">
        <v>-121</v>
      </c>
      <c r="F18" s="17">
        <f>2421-SUM(F16:F17)</f>
        <v>-1170</v>
      </c>
      <c r="G18" s="17">
        <f>-292-SUM(G16:G17)</f>
        <v>1639</v>
      </c>
      <c r="H18" s="17"/>
      <c r="I18" s="17">
        <v>-760.17675</v>
      </c>
      <c r="J18" s="17">
        <v>-335.364</v>
      </c>
      <c r="K18" s="17">
        <f>-4719-SUM(K16:K17)</f>
        <v>-1457</v>
      </c>
      <c r="L18" s="17">
        <f>F18+G18</f>
        <v>469</v>
      </c>
      <c r="M18" s="17">
        <f>AVERAGE(L15:L18)</f>
        <v>1071.15</v>
      </c>
      <c r="N18" s="17"/>
      <c r="O18" s="17">
        <f>-K18+O17</f>
        <v>13547</v>
      </c>
      <c r="P18" s="17"/>
      <c r="Q18" s="17">
        <f>1+Q17</f>
        <v>15</v>
      </c>
    </row>
    <row r="19" ht="20.05" customHeight="1">
      <c r="B19" s="30"/>
      <c r="C19" s="16">
        <f>9986+42213+17383+1162-SUM(C16:C18)</f>
        <v>18368</v>
      </c>
      <c r="D19" s="17">
        <v>848</v>
      </c>
      <c r="E19" s="17">
        <v>-219</v>
      </c>
      <c r="F19" s="17">
        <f>4445.3-SUM(F16:F18)</f>
        <v>2024.3</v>
      </c>
      <c r="G19" s="17">
        <f>3386.8-SUM(G16:G18)</f>
        <v>3678.8</v>
      </c>
      <c r="H19" s="17"/>
      <c r="I19" s="17">
        <v>-760.17675</v>
      </c>
      <c r="J19" s="17">
        <v>-335.364</v>
      </c>
      <c r="K19" s="17">
        <f>-4382-SUM(K16:K18)</f>
        <v>337</v>
      </c>
      <c r="L19" s="17">
        <f>F19+G19</f>
        <v>5703.1</v>
      </c>
      <c r="M19" s="17">
        <f>AVERAGE(L16:L19)</f>
        <v>1958.025</v>
      </c>
      <c r="N19" s="17"/>
      <c r="O19" s="17">
        <f>-K19+O18</f>
        <v>13210</v>
      </c>
      <c r="P19" s="17"/>
      <c r="Q19" s="17">
        <f>1+Q18</f>
        <v>16</v>
      </c>
    </row>
    <row r="20" ht="20.05" customHeight="1">
      <c r="B20" s="32">
        <v>2019</v>
      </c>
      <c r="C20" s="16">
        <f>2379+10851+3910+185</f>
        <v>17325</v>
      </c>
      <c r="D20" s="17">
        <v>477</v>
      </c>
      <c r="E20" s="17">
        <v>-162</v>
      </c>
      <c r="F20" s="17">
        <v>-600</v>
      </c>
      <c r="G20" s="17">
        <v>1840.8</v>
      </c>
      <c r="H20" s="17"/>
      <c r="I20" s="17">
        <v>634.384</v>
      </c>
      <c r="J20" s="17">
        <v>-361.17475</v>
      </c>
      <c r="K20" s="17">
        <v>648.7</v>
      </c>
      <c r="L20" s="17">
        <f>F20+G20</f>
        <v>1240.8</v>
      </c>
      <c r="M20" s="17">
        <f>AVERAGE(L17:L20)</f>
        <v>3182.725</v>
      </c>
      <c r="N20" s="17"/>
      <c r="O20" s="17">
        <f>-K20+O19</f>
        <v>12561.3</v>
      </c>
      <c r="P20" s="17"/>
      <c r="Q20" s="17">
        <f>1+Q19</f>
        <v>17</v>
      </c>
    </row>
    <row r="21" ht="20.05" customHeight="1">
      <c r="B21" s="30"/>
      <c r="C21" s="16">
        <f>5603.6+21858+7742+514-C20</f>
        <v>18392.6</v>
      </c>
      <c r="D21" s="17">
        <v>891</v>
      </c>
      <c r="E21" s="17">
        <v>-83</v>
      </c>
      <c r="F21" s="17">
        <f>-2939-F20</f>
        <v>-2339</v>
      </c>
      <c r="G21" s="17">
        <f>1243-G20</f>
        <v>-597.8</v>
      </c>
      <c r="H21" s="17"/>
      <c r="I21" s="17">
        <v>634.384</v>
      </c>
      <c r="J21" s="17">
        <v>-361.17475</v>
      </c>
      <c r="K21" s="17">
        <f>2027-K20</f>
        <v>1378.3</v>
      </c>
      <c r="L21" s="17">
        <f>F21+G21</f>
        <v>-2936.8</v>
      </c>
      <c r="M21" s="17">
        <f>AVERAGE(L18:L21)</f>
        <v>1119.025</v>
      </c>
      <c r="N21" s="17"/>
      <c r="O21" s="17">
        <f>-K21+O20</f>
        <v>11183</v>
      </c>
      <c r="P21" s="17"/>
      <c r="Q21" s="17">
        <f>1+Q20</f>
        <v>18</v>
      </c>
    </row>
    <row r="22" ht="20.05" customHeight="1">
      <c r="B22" s="30"/>
      <c r="C22" s="16">
        <f>7653.8+33597.5+11488.32+888.49-SUM(C20:C21)</f>
        <v>17910.51</v>
      </c>
      <c r="D22" s="17">
        <v>1421</v>
      </c>
      <c r="E22" s="17">
        <v>-64</v>
      </c>
      <c r="F22" s="17">
        <f>-5533.23-SUM(F20:F21)</f>
        <v>-2594.23</v>
      </c>
      <c r="G22" s="17">
        <f>-1848.55-SUM(G20:G21)</f>
        <v>-3091.55</v>
      </c>
      <c r="H22" s="17"/>
      <c r="I22" s="17">
        <v>634.384</v>
      </c>
      <c r="J22" s="17">
        <v>-361.17475</v>
      </c>
      <c r="K22" s="17">
        <f>1211-SUM(K20:K21)</f>
        <v>-816</v>
      </c>
      <c r="L22" s="17">
        <f>F22+G22</f>
        <v>-5685.78</v>
      </c>
      <c r="M22" s="17">
        <f>AVERAGE(L19:L22)</f>
        <v>-419.67</v>
      </c>
      <c r="N22" s="17"/>
      <c r="O22" s="17">
        <f>-K22+O21</f>
        <v>11999</v>
      </c>
      <c r="P22" s="17"/>
      <c r="Q22" s="17">
        <f>1+Q21</f>
        <v>19</v>
      </c>
    </row>
    <row r="23" ht="20.05" customHeight="1">
      <c r="B23" s="30"/>
      <c r="C23" s="16">
        <f>11602+45405+15765+1089-SUM(C20:C22)</f>
        <v>20232.89</v>
      </c>
      <c r="D23" s="17">
        <v>1238</v>
      </c>
      <c r="E23" s="17">
        <v>-124</v>
      </c>
      <c r="F23" s="17">
        <f>-9005-SUM(F20:F22)</f>
        <v>-3471.77</v>
      </c>
      <c r="G23" s="17">
        <f>2031-SUM(G20:G22)</f>
        <v>3879.55</v>
      </c>
      <c r="H23" s="17"/>
      <c r="I23" s="17">
        <v>634.384</v>
      </c>
      <c r="J23" s="17">
        <v>-361.17475</v>
      </c>
      <c r="K23" s="17">
        <f>1093-SUM(K20:K22)</f>
        <v>-118</v>
      </c>
      <c r="L23" s="17">
        <f>F23+G23</f>
        <v>407.78</v>
      </c>
      <c r="M23" s="17">
        <f>AVERAGE(L20:L23)</f>
        <v>-1743.5</v>
      </c>
      <c r="N23" s="17"/>
      <c r="O23" s="17">
        <f>-K23+O22</f>
        <v>12117</v>
      </c>
      <c r="P23" s="17"/>
      <c r="Q23" s="17">
        <f>1+Q22</f>
        <v>20</v>
      </c>
    </row>
    <row r="24" ht="20.05" customHeight="1">
      <c r="B24" s="32">
        <v>2020</v>
      </c>
      <c r="C24" s="16">
        <f>2784+11991+4141+129</f>
        <v>19045</v>
      </c>
      <c r="D24" s="17">
        <v>4182</v>
      </c>
      <c r="E24" s="17">
        <v>-120</v>
      </c>
      <c r="F24" s="17">
        <v>459</v>
      </c>
      <c r="G24" s="17">
        <v>658.5</v>
      </c>
      <c r="H24" s="17"/>
      <c r="I24" s="17">
        <f>1-1897.5+6.2+3104.7-2970.7-5.5</f>
        <v>-1761.8</v>
      </c>
      <c r="J24" s="17">
        <v>-83.59999999999999</v>
      </c>
      <c r="K24" s="17">
        <v>-1840</v>
      </c>
      <c r="L24" s="17">
        <f>F24+G24</f>
        <v>1117.5</v>
      </c>
      <c r="M24" s="17">
        <f>AVERAGE(L21:L24)</f>
        <v>-1774.325</v>
      </c>
      <c r="N24" s="17"/>
      <c r="O24" s="17">
        <f>-K24+O23</f>
        <v>13957</v>
      </c>
      <c r="P24" s="17"/>
      <c r="Q24" s="17">
        <f>1+Q23</f>
        <v>21</v>
      </c>
    </row>
    <row r="25" ht="20.05" customHeight="1">
      <c r="B25" s="30"/>
      <c r="C25" s="16">
        <f>7012.7+22688.6+5318.6+1381-C24</f>
        <v>17355.9</v>
      </c>
      <c r="D25" s="17">
        <v>7133</v>
      </c>
      <c r="E25" s="17">
        <v>-68</v>
      </c>
      <c r="F25" s="17">
        <f>8947-F24</f>
        <v>8488</v>
      </c>
      <c r="G25" s="17">
        <f>-3196-G24</f>
        <v>-3854.5</v>
      </c>
      <c r="H25" s="17"/>
      <c r="I25" s="17">
        <f>-4659.3-J25-J24-I24</f>
        <v>-981.3</v>
      </c>
      <c r="J25" s="17">
        <f>-1916.2-J24</f>
        <v>-1832.6</v>
      </c>
      <c r="K25" s="17">
        <f>-4659-K24</f>
        <v>-2819</v>
      </c>
      <c r="L25" s="17">
        <f>F25+G25</f>
        <v>4633.5</v>
      </c>
      <c r="M25" s="17">
        <f>AVERAGE(L22:L25)</f>
        <v>118.25</v>
      </c>
      <c r="N25" s="17"/>
      <c r="O25" s="17">
        <f>-K25+O24</f>
        <v>16776</v>
      </c>
      <c r="P25" s="17"/>
      <c r="Q25" s="17">
        <f>1+Q24</f>
        <v>22</v>
      </c>
    </row>
    <row r="26" ht="20.05" customHeight="1">
      <c r="B26" s="30"/>
      <c r="C26" s="16">
        <f>9672.6+28774+6975.27+1915.39-SUM(C24:C25)</f>
        <v>10936.36</v>
      </c>
      <c r="D26" s="17">
        <v>1229</v>
      </c>
      <c r="E26" s="17">
        <v>-20</v>
      </c>
      <c r="F26" s="17">
        <f>6561.37-SUM(F24:F25)</f>
        <v>-2385.63</v>
      </c>
      <c r="G26" s="17">
        <f>-4284-SUM(G24:G25)</f>
        <v>-1088</v>
      </c>
      <c r="H26" s="17"/>
      <c r="I26" s="17">
        <f>-4976.837-J26-J25-J24-I25-I24</f>
        <v>-317.537</v>
      </c>
      <c r="J26" s="17">
        <f>-1916.2-J25-J24</f>
        <v>0</v>
      </c>
      <c r="K26" s="17">
        <f>I26+J26</f>
        <v>-317.537</v>
      </c>
      <c r="L26" s="17">
        <f>F26+G26</f>
        <v>-3473.63</v>
      </c>
      <c r="M26" s="17">
        <f>AVERAGE(L23:L26)</f>
        <v>671.2875</v>
      </c>
      <c r="N26" s="17"/>
      <c r="O26" s="17">
        <f>-K26+O25</f>
        <v>17093.537</v>
      </c>
      <c r="P26" s="17"/>
      <c r="Q26" s="17">
        <f>1+Q25</f>
        <v>23</v>
      </c>
    </row>
    <row r="27" ht="20.05" customHeight="1">
      <c r="B27" s="30"/>
      <c r="C27" s="16">
        <v>20627.74</v>
      </c>
      <c r="D27" s="17">
        <v>9443</v>
      </c>
      <c r="E27" s="17">
        <v>-79</v>
      </c>
      <c r="F27" s="17">
        <v>10744.63</v>
      </c>
      <c r="G27" s="17">
        <v>-998</v>
      </c>
      <c r="H27" s="17"/>
      <c r="I27" s="17">
        <f>-8478.567-J27-J26-J25-J24-I26-I25-I24</f>
        <v>-3501.73</v>
      </c>
      <c r="J27" s="17">
        <f>-1916.2-J26-J25-J24</f>
        <v>0</v>
      </c>
      <c r="K27" s="17">
        <f>I27+J27</f>
        <v>-3501.73</v>
      </c>
      <c r="L27" s="17">
        <f>F27+G27</f>
        <v>9746.629999999999</v>
      </c>
      <c r="M27" s="17">
        <f>AVERAGE(L24:L27)</f>
        <v>3006</v>
      </c>
      <c r="N27" s="17"/>
      <c r="O27" s="17">
        <f>-K27+O26</f>
        <v>20595.267</v>
      </c>
      <c r="P27" s="17"/>
      <c r="Q27" s="17">
        <f>1+Q26</f>
        <v>24</v>
      </c>
    </row>
    <row r="28" ht="20.05" customHeight="1">
      <c r="B28" s="32">
        <v>2021</v>
      </c>
      <c r="C28" s="16">
        <f>227.4+10378.1+504.1+2119.6</f>
        <v>13229.2</v>
      </c>
      <c r="D28" s="17">
        <v>1257</v>
      </c>
      <c r="E28" s="17">
        <v>-180</v>
      </c>
      <c r="F28" s="17">
        <v>913</v>
      </c>
      <c r="G28" s="17">
        <v>-4144.7</v>
      </c>
      <c r="H28" s="17">
        <v>-13</v>
      </c>
      <c r="I28" s="17">
        <f>-1313-2134-13+57</f>
        <v>-3403</v>
      </c>
      <c r="J28" s="17">
        <v>0</v>
      </c>
      <c r="K28" s="17">
        <f>I28+J28</f>
        <v>-3403</v>
      </c>
      <c r="L28" s="17">
        <f>F28+G28</f>
        <v>-3231.7</v>
      </c>
      <c r="M28" s="17">
        <f>AVERAGE(L25:L28)</f>
        <v>1918.7</v>
      </c>
      <c r="N28" s="17"/>
      <c r="O28" s="17">
        <f>-K28+O27</f>
        <v>23998.267</v>
      </c>
      <c r="P28" s="17"/>
      <c r="Q28" s="17">
        <f>1+Q27</f>
        <v>25</v>
      </c>
    </row>
    <row r="29" ht="20.05" customHeight="1">
      <c r="B29" s="30"/>
      <c r="C29" s="16">
        <f>3039.4+20075.4+890.2+4983.5-C28</f>
        <v>15759.3</v>
      </c>
      <c r="D29" s="17">
        <v>2590</v>
      </c>
      <c r="E29" s="17">
        <v>-64</v>
      </c>
      <c r="F29" s="17">
        <f>4992.4-F28</f>
        <v>4079.4</v>
      </c>
      <c r="G29" s="17">
        <f>-5569.8-G28</f>
        <v>-1425.1</v>
      </c>
      <c r="H29" s="17">
        <f>-30.8-H28</f>
        <v>-17.8</v>
      </c>
      <c r="I29" s="17">
        <f>-4401.6-J29-I28-J28</f>
        <v>-679.9</v>
      </c>
      <c r="J29" s="17">
        <f>-318.7-J28</f>
        <v>-318.7</v>
      </c>
      <c r="K29" s="17">
        <f>I29+J29</f>
        <v>-998.6</v>
      </c>
      <c r="L29" s="17">
        <f>F29+G29</f>
        <v>2654.3</v>
      </c>
      <c r="M29" s="17">
        <f>AVERAGE(L26:L29)</f>
        <v>1423.9</v>
      </c>
      <c r="N29" s="17"/>
      <c r="O29" s="17">
        <f>-K29+O28</f>
        <v>24996.867</v>
      </c>
      <c r="P29" s="17"/>
      <c r="Q29" s="17">
        <f>1+Q28</f>
        <v>26</v>
      </c>
    </row>
    <row r="30" ht="20.05" customHeight="1">
      <c r="B30" s="30"/>
      <c r="C30" s="16">
        <f>6885.9+30845.1+8222.5+1202.2-SUM(C28:C29)</f>
        <v>18167.2</v>
      </c>
      <c r="D30" s="17">
        <f>10107.4-SUM(D28:D29)</f>
        <v>6260.4</v>
      </c>
      <c r="E30" s="17">
        <f>-339.9-SUM(E28:E29)</f>
        <v>-95.90000000000001</v>
      </c>
      <c r="F30" s="17">
        <f>9716.8-SUM(F28:F29)</f>
        <v>4724.4</v>
      </c>
      <c r="G30" s="17">
        <f>-6705.9-SUM(G28:G29)</f>
        <v>-1136.1</v>
      </c>
      <c r="H30" s="17">
        <f>-69.3-H29-H28</f>
        <v>-38.5</v>
      </c>
      <c r="I30" s="17">
        <f>-6159.959-J30-J29-J28-I29-I28</f>
        <v>-1683.359</v>
      </c>
      <c r="J30" s="17">
        <f>-393.7-J29-J28</f>
        <v>-75</v>
      </c>
      <c r="K30" s="17">
        <f>I30+J30</f>
        <v>-1758.359</v>
      </c>
      <c r="L30" s="17">
        <f>F30+G30</f>
        <v>3588.3</v>
      </c>
      <c r="M30" s="17">
        <f>AVERAGE(L27:L30)</f>
        <v>3189.3825</v>
      </c>
      <c r="N30" s="17"/>
      <c r="O30" s="17">
        <f>-K30+O29</f>
        <v>26755.226</v>
      </c>
      <c r="P30" s="17"/>
      <c r="Q30" s="17">
        <f>1+Q29</f>
        <v>27</v>
      </c>
    </row>
    <row r="31" ht="20.05" customHeight="1">
      <c r="B31" s="30"/>
      <c r="C31" s="16">
        <f>64879-C30-C29-C28</f>
        <v>17723.3</v>
      </c>
      <c r="D31" s="17">
        <f>13455-D30-D29-D28</f>
        <v>3347.6</v>
      </c>
      <c r="E31" s="17">
        <f>-426-E30-E29-E28</f>
        <v>-86.09999999999999</v>
      </c>
      <c r="F31" s="17">
        <f>15173-F30-F29-F28</f>
        <v>5456.2</v>
      </c>
      <c r="G31" s="17">
        <f>-6544-G30-G29-G28</f>
        <v>161.9</v>
      </c>
      <c r="H31" s="17">
        <f>-116.6-H30-H29-H28</f>
        <v>-47.3</v>
      </c>
      <c r="I31" s="17">
        <f>K31-J31-H31</f>
        <v>-843.741</v>
      </c>
      <c r="J31" s="17">
        <f>-393.7-J30-J29-J28</f>
        <v>0</v>
      </c>
      <c r="K31" s="17">
        <f>-7051-K30-K29-K28</f>
        <v>-891.0410000000001</v>
      </c>
      <c r="L31" s="17">
        <f>F31+G31</f>
        <v>5618.1</v>
      </c>
      <c r="M31" s="17">
        <f>AVERAGE(L28:L31)</f>
        <v>2157.25</v>
      </c>
      <c r="N31" s="17"/>
      <c r="O31" s="17">
        <f>-K31+O30</f>
        <v>27646.267</v>
      </c>
      <c r="P31" s="17"/>
      <c r="Q31" s="17">
        <f>1+Q30</f>
        <v>28</v>
      </c>
    </row>
    <row r="32" ht="20.05" customHeight="1">
      <c r="B32" s="32">
        <v>2022</v>
      </c>
      <c r="C32" s="16">
        <f>876+9349+3582+523+76</f>
        <v>14406</v>
      </c>
      <c r="D32" s="17">
        <v>1104</v>
      </c>
      <c r="E32" s="17">
        <v>-91.7</v>
      </c>
      <c r="F32" s="17">
        <v>-12647.3</v>
      </c>
      <c r="G32" s="17">
        <v>7558.7</v>
      </c>
      <c r="H32" s="17">
        <v>-17.5</v>
      </c>
      <c r="I32" s="17">
        <f>-361+1974-1559+800</f>
        <v>854</v>
      </c>
      <c r="J32" s="17">
        <v>0</v>
      </c>
      <c r="K32" s="17">
        <v>926.3</v>
      </c>
      <c r="L32" s="17">
        <f>F32+G32</f>
        <v>-5088.6</v>
      </c>
      <c r="M32" s="17">
        <f>AVERAGE(L29:L32)</f>
        <v>1693.025</v>
      </c>
      <c r="N32" s="17">
        <f>M32</f>
        <v>1693.025</v>
      </c>
      <c r="O32" s="17">
        <f>-K32+O31</f>
        <v>26719.967</v>
      </c>
      <c r="P32" s="17">
        <f>O32</f>
        <v>26719.967</v>
      </c>
      <c r="Q32" s="17">
        <f>1+Q31</f>
        <v>29</v>
      </c>
    </row>
    <row r="33" ht="20.05" customHeight="1">
      <c r="B33" s="30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34"/>
      <c r="N33" s="17">
        <f>SUM('Model'!F9:F10)</f>
        <v>2127.650013823170</v>
      </c>
      <c r="O33" s="34"/>
      <c r="P33" s="17">
        <f>'Model'!F32</f>
        <v>28129.6004976796</v>
      </c>
      <c r="Q33" s="17"/>
    </row>
  </sheetData>
  <mergeCells count="1">
    <mergeCell ref="B2:Q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17188" style="37" customWidth="1"/>
    <col min="2" max="5" width="11.3906" style="37" customWidth="1"/>
    <col min="6" max="12" width="12.5469" style="37" customWidth="1"/>
    <col min="13" max="16384" width="16.3516" style="37" customWidth="1"/>
  </cols>
  <sheetData>
    <row r="1" ht="16.3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5">
        <v>1</v>
      </c>
      <c r="C3" t="s" s="5">
        <v>54</v>
      </c>
      <c r="D3" t="s" s="5">
        <v>55</v>
      </c>
      <c r="E3" t="s" s="5">
        <v>23</v>
      </c>
      <c r="F3" t="s" s="5">
        <v>56</v>
      </c>
      <c r="G3" t="s" s="5">
        <v>25</v>
      </c>
      <c r="H3" t="s" s="5">
        <v>26</v>
      </c>
      <c r="I3" t="s" s="5">
        <v>27</v>
      </c>
      <c r="J3" t="s" s="5">
        <v>57</v>
      </c>
      <c r="K3" t="s" s="5">
        <v>58</v>
      </c>
      <c r="L3" t="s" s="5">
        <v>59</v>
      </c>
    </row>
    <row r="4" ht="21.1" customHeight="1">
      <c r="B4" s="24">
        <v>2015</v>
      </c>
      <c r="C4" s="38">
        <v>23294.8</v>
      </c>
      <c r="D4" s="39">
        <v>193811</v>
      </c>
      <c r="E4" s="39">
        <f>D4-C4</f>
        <v>170516.2</v>
      </c>
      <c r="F4" s="39">
        <f>30+2733+1786+33+1121+2982+21+6+3</f>
        <v>8715</v>
      </c>
      <c r="G4" s="39">
        <v>160054</v>
      </c>
      <c r="H4" s="39">
        <f>D4-G4</f>
        <v>33757</v>
      </c>
      <c r="I4" s="39">
        <f>G4+H4-C4-E4</f>
        <v>0</v>
      </c>
      <c r="J4" s="40"/>
      <c r="K4" s="40"/>
      <c r="L4" s="26">
        <f>G4-C4</f>
        <v>136759.2</v>
      </c>
    </row>
    <row r="5" ht="21.1" customHeight="1">
      <c r="B5" s="30"/>
      <c r="C5" s="12">
        <v>27771.8</v>
      </c>
      <c r="D5" s="13">
        <v>200091</v>
      </c>
      <c r="E5" s="13">
        <f>D5-C5</f>
        <v>172319.2</v>
      </c>
      <c r="F5" s="13">
        <f>29+2739+1824+34+1116+3123+1+5+3</f>
        <v>8874</v>
      </c>
      <c r="G5" s="13">
        <v>166799</v>
      </c>
      <c r="H5" s="13">
        <f>D5-G5</f>
        <v>33292</v>
      </c>
      <c r="I5" s="13">
        <f>G5+H5-C5-E5</f>
        <v>0</v>
      </c>
      <c r="J5" s="41">
        <f>E5/E4-1</f>
        <v>0.0105737753949478</v>
      </c>
      <c r="K5" s="41">
        <f>G5/G4-1</f>
        <v>0.0421420270658653</v>
      </c>
      <c r="L5" s="17">
        <f>G5-C5</f>
        <v>139027.2</v>
      </c>
    </row>
    <row r="6" ht="21.1" customHeight="1">
      <c r="B6" s="30"/>
      <c r="C6" s="12">
        <v>30070.8</v>
      </c>
      <c r="D6" s="13">
        <v>195011</v>
      </c>
      <c r="E6" s="13">
        <f>D6-C6</f>
        <v>164940.2</v>
      </c>
      <c r="F6" s="13">
        <f>29+2809+1858+12+34+1099+3140+5+3</f>
        <v>8989</v>
      </c>
      <c r="G6" s="13">
        <v>161086</v>
      </c>
      <c r="H6" s="13">
        <f>D6-G6</f>
        <v>33925</v>
      </c>
      <c r="I6" s="13">
        <f>G6+H6-C6-E6</f>
        <v>0</v>
      </c>
      <c r="J6" s="41">
        <f>E6/E5-1</f>
        <v>-0.0428216936940283</v>
      </c>
      <c r="K6" s="41">
        <f>G6/G5-1</f>
        <v>-0.0342508048609404</v>
      </c>
      <c r="L6" s="17">
        <f>G6-C6</f>
        <v>131015.2</v>
      </c>
    </row>
    <row r="7" ht="21.1" customHeight="1">
      <c r="B7" s="30"/>
      <c r="C7" s="12">
        <v>31942.8</v>
      </c>
      <c r="D7" s="13">
        <v>188057</v>
      </c>
      <c r="E7" s="13">
        <f>D7-C7</f>
        <v>156114.2</v>
      </c>
      <c r="F7" s="13">
        <f>2+6+3360+1081+35+15+1766+2660+30</f>
        <v>8955</v>
      </c>
      <c r="G7" s="13">
        <v>153842</v>
      </c>
      <c r="H7" s="13">
        <f>D7-G7</f>
        <v>34215</v>
      </c>
      <c r="I7" s="13">
        <f>G7+H7-C7-E7</f>
        <v>0</v>
      </c>
      <c r="J7" s="41">
        <f>E7/E6-1</f>
        <v>-0.0535103025217624</v>
      </c>
      <c r="K7" s="41">
        <f>G7/G6-1</f>
        <v>-0.0449697677017245</v>
      </c>
      <c r="L7" s="17">
        <f>G7-C7</f>
        <v>121899.2</v>
      </c>
    </row>
    <row r="8" ht="21.1" customHeight="1">
      <c r="B8" s="32">
        <v>2016</v>
      </c>
      <c r="C8" s="12">
        <v>24477.8</v>
      </c>
      <c r="D8" s="13">
        <v>179334</v>
      </c>
      <c r="E8" s="13">
        <f>D8-C8</f>
        <v>154856.2</v>
      </c>
      <c r="F8" s="13">
        <f>30+2727+1794+23+35+1047+3475+2+2</f>
        <v>9135</v>
      </c>
      <c r="G8" s="13">
        <v>144078</v>
      </c>
      <c r="H8" s="13">
        <f>D8-G8</f>
        <v>35256</v>
      </c>
      <c r="I8" s="13">
        <f>G8+H8-C8-E8</f>
        <v>0</v>
      </c>
      <c r="J8" s="41">
        <f>E8/E7-1</f>
        <v>-0.00805820354586578</v>
      </c>
      <c r="K8" s="41">
        <f>G8/G7-1</f>
        <v>-0.063467713628268</v>
      </c>
      <c r="L8" s="17">
        <f>G8-C8</f>
        <v>119600.2</v>
      </c>
    </row>
    <row r="9" ht="20.9" customHeight="1">
      <c r="B9" s="30"/>
      <c r="C9" s="12">
        <v>15086.8</v>
      </c>
      <c r="D9" s="13">
        <v>174858</v>
      </c>
      <c r="E9" s="13">
        <f>D9-C9</f>
        <v>159771.2</v>
      </c>
      <c r="F9" s="13">
        <f>26+2781+1823+23+34+1087+3453+2+1</f>
        <v>9230</v>
      </c>
      <c r="G9" s="13">
        <v>139458</v>
      </c>
      <c r="H9" s="13">
        <f>D9-G9</f>
        <v>35400</v>
      </c>
      <c r="I9" s="13">
        <f>G9+H9-C9-E9</f>
        <v>0</v>
      </c>
      <c r="J9" s="41">
        <f>E9/E8-1</f>
        <v>0.0317391231348826</v>
      </c>
      <c r="K9" s="41">
        <f>G9/G8-1</f>
        <v>-0.0320659642693541</v>
      </c>
      <c r="L9" s="17">
        <f>G9-C9</f>
        <v>124371.2</v>
      </c>
    </row>
    <row r="10" ht="20.9" customHeight="1">
      <c r="B10" s="30"/>
      <c r="C10" s="12">
        <v>13299.8</v>
      </c>
      <c r="D10" s="13">
        <v>174686</v>
      </c>
      <c r="E10" s="13">
        <f>D10-C10</f>
        <v>161386.2</v>
      </c>
      <c r="F10" s="13">
        <f>24+2857+1852+23+34+1119+3362+20+4+1</f>
        <v>9296</v>
      </c>
      <c r="G10" s="13">
        <v>138418</v>
      </c>
      <c r="H10" s="13">
        <f>D10-G10</f>
        <v>36268</v>
      </c>
      <c r="I10" s="13">
        <f>G10+H10-C10-E10</f>
        <v>0</v>
      </c>
      <c r="J10" s="41">
        <f>E10/E9-1</f>
        <v>0.0101082047327679</v>
      </c>
      <c r="K10" s="41">
        <f>G10/G9-1</f>
        <v>-0.00745744238408697</v>
      </c>
      <c r="L10" s="17">
        <f>G10-C10</f>
        <v>125118.2</v>
      </c>
    </row>
    <row r="11" ht="20.9" customHeight="1">
      <c r="B11" s="30"/>
      <c r="C11" s="12">
        <v>15153.8</v>
      </c>
      <c r="D11" s="13">
        <v>174436</v>
      </c>
      <c r="E11" s="13">
        <f>D11-C11</f>
        <v>159282.2</v>
      </c>
      <c r="F11" s="13">
        <f>1+3+38+3327+1211+30+33+1883+2900+23</f>
        <v>9449</v>
      </c>
      <c r="G11" s="13">
        <v>138058</v>
      </c>
      <c r="H11" s="13">
        <f>D11-G11</f>
        <v>36378</v>
      </c>
      <c r="I11" s="13">
        <f>G11+H11-C11-E11</f>
        <v>0</v>
      </c>
      <c r="J11" s="41">
        <f>E11/E10-1</f>
        <v>-0.0130370502558459</v>
      </c>
      <c r="K11" s="41">
        <f>G11/G10-1</f>
        <v>-0.00260081781271222</v>
      </c>
      <c r="L11" s="17">
        <f>G11-C11</f>
        <v>122904.2</v>
      </c>
    </row>
    <row r="12" ht="20.9" customHeight="1">
      <c r="B12" s="32">
        <v>2017</v>
      </c>
      <c r="C12" s="12">
        <v>12616.8</v>
      </c>
      <c r="D12" s="13">
        <v>171149</v>
      </c>
      <c r="E12" s="13">
        <f>D12-C12</f>
        <v>158532.2</v>
      </c>
      <c r="F12" s="13">
        <f>21+2970+1914+33+26+1240+3308+43+4</f>
        <v>9559</v>
      </c>
      <c r="G12" s="13">
        <v>133648</v>
      </c>
      <c r="H12" s="13">
        <f>D12-G12</f>
        <v>37501</v>
      </c>
      <c r="I12" s="13">
        <f>G12+H12-C12-E12</f>
        <v>0</v>
      </c>
      <c r="J12" s="41">
        <f>E12/E11-1</f>
        <v>-0.00470862406471031</v>
      </c>
      <c r="K12" s="41">
        <f>G12/G11-1</f>
        <v>-0.0319430963797824</v>
      </c>
      <c r="L12" s="17">
        <f>G12-C12</f>
        <v>121031.2</v>
      </c>
    </row>
    <row r="13" ht="20.9" customHeight="1">
      <c r="B13" s="30"/>
      <c r="C13" s="12">
        <v>19225.35</v>
      </c>
      <c r="D13" s="13">
        <v>176136</v>
      </c>
      <c r="E13" s="13">
        <f>D13-C13</f>
        <v>156910.65</v>
      </c>
      <c r="F13" s="13">
        <f>21+3000+1943+33+20+1291+3379+47+3+2</f>
        <v>9739</v>
      </c>
      <c r="G13" s="13">
        <v>138600</v>
      </c>
      <c r="H13" s="13">
        <f>D13-G13</f>
        <v>37536</v>
      </c>
      <c r="I13" s="13">
        <f>G13+H13-C13-E13</f>
        <v>0</v>
      </c>
      <c r="J13" s="41">
        <f>E13/E12-1</f>
        <v>-0.0102285213981765</v>
      </c>
      <c r="K13" s="41">
        <f>G13/G12-1</f>
        <v>0.0370525559679157</v>
      </c>
      <c r="L13" s="17">
        <f>G13-C13</f>
        <v>119374.65</v>
      </c>
    </row>
    <row r="14" ht="20.9" customHeight="1">
      <c r="B14" s="30"/>
      <c r="C14" s="12">
        <v>12936.9</v>
      </c>
      <c r="D14" s="13">
        <v>173679</v>
      </c>
      <c r="E14" s="13">
        <f>D14-C14</f>
        <v>160742.1</v>
      </c>
      <c r="F14" s="13">
        <f>18+3057+1976+33+18+1301+3411+43+3+1</f>
        <v>9861</v>
      </c>
      <c r="G14" s="13">
        <v>135157</v>
      </c>
      <c r="H14" s="13">
        <f>D14-G14</f>
        <v>38522</v>
      </c>
      <c r="I14" s="13">
        <f>G14+H14-C14-E14</f>
        <v>0</v>
      </c>
      <c r="J14" s="41">
        <f>E14/E13-1</f>
        <v>0.0244180366342246</v>
      </c>
      <c r="K14" s="41">
        <f>G14/G13-1</f>
        <v>-0.0248412698412698</v>
      </c>
      <c r="L14" s="17">
        <f>G14-C14</f>
        <v>122220.1</v>
      </c>
    </row>
    <row r="15" ht="20.9" customHeight="1">
      <c r="B15" s="30"/>
      <c r="C15" s="12">
        <v>15835.05</v>
      </c>
      <c r="D15" s="13">
        <v>178257</v>
      </c>
      <c r="E15" s="13">
        <f>D15-C15</f>
        <v>162421.95</v>
      </c>
      <c r="F15" s="13">
        <f>29+3046+2002+39+15+1333+2923+42+2+1</f>
        <v>9432</v>
      </c>
      <c r="G15" s="13">
        <v>139085</v>
      </c>
      <c r="H15" s="13">
        <f>D15-G15</f>
        <v>39172</v>
      </c>
      <c r="I15" s="13">
        <f>G15+H15-C15-E15</f>
        <v>0</v>
      </c>
      <c r="J15" s="41">
        <f>E15/E14-1</f>
        <v>0.0104505913509902</v>
      </c>
      <c r="K15" s="41">
        <f>G15/G14-1</f>
        <v>0.0290624976878741</v>
      </c>
      <c r="L15" s="17">
        <f>G15-C15</f>
        <v>123249.95</v>
      </c>
    </row>
    <row r="16" ht="20.9" customHeight="1">
      <c r="B16" s="32">
        <v>2018</v>
      </c>
      <c r="C16" s="12">
        <v>13776.05</v>
      </c>
      <c r="D16" s="13">
        <v>179555</v>
      </c>
      <c r="E16" s="13">
        <f>D16-C16</f>
        <v>165778.95</v>
      </c>
      <c r="F16" s="13">
        <f>34+3093+2042+39+11+1365+3053+54+2+1</f>
        <v>9694</v>
      </c>
      <c r="G16" s="13">
        <v>140666</v>
      </c>
      <c r="H16" s="13">
        <f>D16-G16</f>
        <v>38889</v>
      </c>
      <c r="I16" s="13">
        <f>G16+H16-C16-E16</f>
        <v>0</v>
      </c>
      <c r="J16" s="41">
        <f>E16/E15-1</f>
        <v>0.0206683887245535</v>
      </c>
      <c r="K16" s="41">
        <f>G16/G15-1</f>
        <v>0.0113671495847863</v>
      </c>
      <c r="L16" s="17">
        <f>G16-C16</f>
        <v>126889.95</v>
      </c>
    </row>
    <row r="17" ht="20.9" customHeight="1">
      <c r="B17" s="30"/>
      <c r="C17" s="12">
        <v>14391.05</v>
      </c>
      <c r="D17" s="13">
        <v>182416</v>
      </c>
      <c r="E17" s="13">
        <f>D17-C17</f>
        <v>168024.95</v>
      </c>
      <c r="F17" s="13">
        <f>43+3111+2083+45+9+1409+3188+74+1</f>
        <v>9963</v>
      </c>
      <c r="G17" s="13">
        <v>142737</v>
      </c>
      <c r="H17" s="13">
        <f>D17-G17</f>
        <v>39679</v>
      </c>
      <c r="I17" s="13">
        <f>G17+H17-C17-E17</f>
        <v>0</v>
      </c>
      <c r="J17" s="41">
        <f>E17/E16-1</f>
        <v>0.0135481615729862</v>
      </c>
      <c r="K17" s="41">
        <f>G17/G16-1</f>
        <v>0.0147228185915573</v>
      </c>
      <c r="L17" s="17">
        <f>G17-C17</f>
        <v>128345.95</v>
      </c>
    </row>
    <row r="18" ht="20.9" customHeight="1">
      <c r="B18" s="30"/>
      <c r="C18" s="12">
        <v>13112.05</v>
      </c>
      <c r="D18" s="13">
        <v>178635</v>
      </c>
      <c r="E18" s="13">
        <f>D18-C18</f>
        <v>165522.95</v>
      </c>
      <c r="F18" s="13">
        <f>61+3023+2109+7+1417+2854+92+1</f>
        <v>9564</v>
      </c>
      <c r="G18" s="13">
        <v>137911</v>
      </c>
      <c r="H18" s="13">
        <f>D18-G18</f>
        <v>40724</v>
      </c>
      <c r="I18" s="13">
        <f>G18+H18-C18-E18</f>
        <v>0</v>
      </c>
      <c r="J18" s="41">
        <f>E18/E17-1</f>
        <v>-0.0148906457047004</v>
      </c>
      <c r="K18" s="41">
        <f>G18/G17-1</f>
        <v>-0.033810434575478</v>
      </c>
      <c r="L18" s="17">
        <f>G18-C18</f>
        <v>124798.95</v>
      </c>
    </row>
    <row r="19" ht="20.9" customHeight="1">
      <c r="B19" s="30"/>
      <c r="C19" s="12">
        <v>19030.15</v>
      </c>
      <c r="D19" s="13">
        <v>186762</v>
      </c>
      <c r="E19" s="13">
        <f>D19-C19</f>
        <v>167731.85</v>
      </c>
      <c r="F19" s="13">
        <f>71+2981+2152+7+1436+2921+42+1</f>
        <v>9611</v>
      </c>
      <c r="G19" s="13">
        <v>144822</v>
      </c>
      <c r="H19" s="13">
        <f>D19-G19</f>
        <v>41940</v>
      </c>
      <c r="I19" s="13">
        <f>G19+H19-C19-E19</f>
        <v>0</v>
      </c>
      <c r="J19" s="41">
        <f>E19/E18-1</f>
        <v>0.0133449772372955</v>
      </c>
      <c r="K19" s="41">
        <f>G19/G18-1</f>
        <v>0.0501120287721792</v>
      </c>
      <c r="L19" s="17">
        <f>G19-C19</f>
        <v>125791.85</v>
      </c>
    </row>
    <row r="20" ht="20.9" customHeight="1">
      <c r="B20" s="32">
        <v>2019</v>
      </c>
      <c r="C20" s="12">
        <v>20324.65</v>
      </c>
      <c r="D20" s="13">
        <v>190042</v>
      </c>
      <c r="E20" s="13">
        <f>D20-C20</f>
        <v>169717.35</v>
      </c>
      <c r="F20" s="13">
        <f>78+2979+2200+7+1503+2686+39+1</f>
        <v>9493</v>
      </c>
      <c r="G20" s="13">
        <v>148520</v>
      </c>
      <c r="H20" s="13">
        <f>D20-G20</f>
        <v>41522</v>
      </c>
      <c r="I20" s="13">
        <f>G20+H20-C20-E20</f>
        <v>0</v>
      </c>
      <c r="J20" s="41">
        <f>E20/E19-1</f>
        <v>0.0118373463358331</v>
      </c>
      <c r="K20" s="41">
        <f>G20/G19-1</f>
        <v>0.0255347944373092</v>
      </c>
      <c r="L20" s="17">
        <f>G20-C20</f>
        <v>128195.35</v>
      </c>
    </row>
    <row r="21" ht="20.9" customHeight="1">
      <c r="B21" s="30"/>
      <c r="C21" s="12">
        <v>18957.15</v>
      </c>
      <c r="D21" s="13">
        <v>198590</v>
      </c>
      <c r="E21" s="13">
        <f>D21-C21</f>
        <v>179632.85</v>
      </c>
      <c r="F21" s="13">
        <f>3+35+2724+1514+10+2264+3051+80</f>
        <v>9681</v>
      </c>
      <c r="G21" s="13">
        <v>155332</v>
      </c>
      <c r="H21" s="13">
        <f>D21-G21</f>
        <v>43258</v>
      </c>
      <c r="I21" s="13">
        <f>G21+H21-C21-E21</f>
        <v>0</v>
      </c>
      <c r="J21" s="41">
        <f>E21/E20-1</f>
        <v>0.0584236084289556</v>
      </c>
      <c r="K21" s="41">
        <f>G21/G20-1</f>
        <v>0.0458658766496095</v>
      </c>
      <c r="L21" s="17">
        <f>G21-C21</f>
        <v>136374.85</v>
      </c>
    </row>
    <row r="22" ht="20.9" customHeight="1">
      <c r="B22" s="30"/>
      <c r="C22" s="12">
        <v>12547.37</v>
      </c>
      <c r="D22" s="13">
        <v>195826</v>
      </c>
      <c r="E22" s="13">
        <f>D22-C22</f>
        <v>183278.63</v>
      </c>
      <c r="F22" s="13">
        <f>87+3072+2314+12+1538+2931+27+2</f>
        <v>9983</v>
      </c>
      <c r="G22" s="13">
        <v>151701</v>
      </c>
      <c r="H22" s="13">
        <f>D22-G22</f>
        <v>44125</v>
      </c>
      <c r="I22" s="13">
        <f>G22+H22-C22-E22</f>
        <v>0</v>
      </c>
      <c r="J22" s="41">
        <f>E22/E21-1</f>
        <v>0.0202957309868434</v>
      </c>
      <c r="K22" s="41">
        <f>G22/G21-1</f>
        <v>-0.0233757371307908</v>
      </c>
      <c r="L22" s="17">
        <f>G22-C22</f>
        <v>139153.63</v>
      </c>
    </row>
    <row r="23" ht="20.9" customHeight="1">
      <c r="B23" s="30"/>
      <c r="C23" s="12">
        <v>13076.15</v>
      </c>
      <c r="D23" s="13">
        <v>193534</v>
      </c>
      <c r="E23" s="13">
        <f>D23-C23</f>
        <v>180457.85</v>
      </c>
      <c r="F23" s="13">
        <f>149+2985+2328+10+1564+3106+27+2+1</f>
        <v>10172</v>
      </c>
      <c r="G23" s="13">
        <v>148117</v>
      </c>
      <c r="H23" s="13">
        <f>D23-G23</f>
        <v>45417</v>
      </c>
      <c r="I23" s="13">
        <f>G23+H23-C23-E23</f>
        <v>0</v>
      </c>
      <c r="J23" s="41">
        <f>E23/E22-1</f>
        <v>-0.015390665021885</v>
      </c>
      <c r="K23" s="41">
        <f>G23/G22-1</f>
        <v>-0.0236254210585296</v>
      </c>
      <c r="L23" s="17">
        <f>G23-C23</f>
        <v>135040.85</v>
      </c>
    </row>
    <row r="24" ht="20.9" customHeight="1">
      <c r="B24" s="32">
        <v>2020</v>
      </c>
      <c r="C24" s="12">
        <v>12373.15</v>
      </c>
      <c r="D24" s="13">
        <v>203213</v>
      </c>
      <c r="E24" s="13">
        <f>D24-C24</f>
        <v>190839.85</v>
      </c>
      <c r="F24" s="13">
        <f>169+3022+2378+1+7+1740+4521+28+3+2</f>
        <v>11871</v>
      </c>
      <c r="G24" s="13">
        <v>159935</v>
      </c>
      <c r="H24" s="13">
        <f>D24-G24</f>
        <v>43278</v>
      </c>
      <c r="I24" s="13">
        <f>G24+H24-C24-E24</f>
        <v>0</v>
      </c>
      <c r="J24" s="41">
        <f>E24/E23-1</f>
        <v>0.0575314401673299</v>
      </c>
      <c r="K24" s="41">
        <f>G24/G23-1</f>
        <v>0.07978827548492071</v>
      </c>
      <c r="L24" s="17">
        <f>G24-C24</f>
        <v>147561.85</v>
      </c>
    </row>
    <row r="25" ht="20.9" customHeight="1">
      <c r="B25" s="30"/>
      <c r="C25" s="12">
        <v>14207.15</v>
      </c>
      <c r="D25" s="13">
        <v>194441</v>
      </c>
      <c r="E25" s="13">
        <f>D25-C25</f>
        <v>180233.85</v>
      </c>
      <c r="F25" s="13">
        <f>178+3030+2429+4+19+1829+4951+16+2+2</f>
        <v>12460</v>
      </c>
      <c r="G25" s="13">
        <v>151294</v>
      </c>
      <c r="H25" s="13">
        <f>D25-G25</f>
        <v>43147</v>
      </c>
      <c r="I25" s="13">
        <f>G25+H25-C25-E25</f>
        <v>0</v>
      </c>
      <c r="J25" s="41">
        <f>E25/E24-1</f>
        <v>-0.0555753947616287</v>
      </c>
      <c r="K25" s="41">
        <f>G25/G24-1</f>
        <v>-0.0540281989558258</v>
      </c>
      <c r="L25" s="17">
        <f>G25-C25</f>
        <v>137086.85</v>
      </c>
    </row>
    <row r="26" ht="20.9" customHeight="1">
      <c r="B26" s="30"/>
      <c r="C26" s="12">
        <v>10464.983</v>
      </c>
      <c r="D26" s="13">
        <v>196631</v>
      </c>
      <c r="E26" s="13">
        <f>D26-C26</f>
        <v>186166.017</v>
      </c>
      <c r="F26" s="13">
        <f>F25</f>
        <v>12460</v>
      </c>
      <c r="G26" s="13">
        <v>152654</v>
      </c>
      <c r="H26" s="13">
        <f>D26-G26</f>
        <v>43977</v>
      </c>
      <c r="I26" s="13">
        <f>G26+H26-C26-E26</f>
        <v>0</v>
      </c>
      <c r="J26" s="41">
        <f>E26/E25-1</f>
        <v>0.0329137229216376</v>
      </c>
      <c r="K26" s="41">
        <f>G26/G25-1</f>
        <v>0.00898912052031145</v>
      </c>
      <c r="L26" s="17">
        <f>G26-C26</f>
        <v>142189.017</v>
      </c>
    </row>
    <row r="27" ht="20.9" customHeight="1">
      <c r="B27" s="30"/>
      <c r="C27" s="12">
        <v>16699.883</v>
      </c>
      <c r="D27" s="13">
        <v>200890</v>
      </c>
      <c r="E27" s="13">
        <f>D27-C27</f>
        <v>184190.117</v>
      </c>
      <c r="F27" s="13">
        <f>2+12+5455+1911+6+5+2523+3273+236</f>
        <v>13423</v>
      </c>
      <c r="G27" s="13">
        <v>157315</v>
      </c>
      <c r="H27" s="13">
        <f>D27-G27</f>
        <v>43575</v>
      </c>
      <c r="I27" s="13">
        <f>G27+H27-C27-E27</f>
        <v>0</v>
      </c>
      <c r="J27" s="41">
        <f>E27/E26-1</f>
        <v>-0.0106136449167304</v>
      </c>
      <c r="K27" s="41">
        <f>G27/G26-1</f>
        <v>0.0305331009996463</v>
      </c>
      <c r="L27" s="17">
        <f>G27-C27</f>
        <v>140615.117</v>
      </c>
    </row>
    <row r="28" ht="20.9" customHeight="1">
      <c r="B28" s="32">
        <v>2021</v>
      </c>
      <c r="C28" s="12">
        <v>10061.233</v>
      </c>
      <c r="D28" s="13">
        <v>193993</v>
      </c>
      <c r="E28" s="13">
        <f>D28-C28</f>
        <v>183931.767</v>
      </c>
      <c r="F28" s="13">
        <f>2548+3321+4+5+1882+5308+15+1</f>
        <v>13084</v>
      </c>
      <c r="G28" s="13">
        <v>150023</v>
      </c>
      <c r="H28" s="13">
        <f>D28-G28</f>
        <v>43970</v>
      </c>
      <c r="I28" s="13">
        <f>G28+H28-C28-E28</f>
        <v>0</v>
      </c>
      <c r="J28" s="41">
        <f>E28/E27-1</f>
        <v>-0.00140262683040698</v>
      </c>
      <c r="K28" s="41">
        <f>G28/G27-1</f>
        <v>-0.0463528589136446</v>
      </c>
      <c r="L28" s="17">
        <f>G28-C28</f>
        <v>139961.767</v>
      </c>
    </row>
    <row r="29" ht="20.9" customHeight="1">
      <c r="B29" s="30"/>
      <c r="C29" s="12">
        <v>11712.983</v>
      </c>
      <c r="D29" s="13">
        <v>193751</v>
      </c>
      <c r="E29" s="13">
        <f>D29-C29</f>
        <v>182038.017</v>
      </c>
      <c r="F29" s="13">
        <f>2604+3397+273+4+9+1635+5067+18+1</f>
        <v>13008</v>
      </c>
      <c r="G29" s="13">
        <v>149499</v>
      </c>
      <c r="H29" s="13">
        <f>D29-G29</f>
        <v>44252</v>
      </c>
      <c r="I29" s="13">
        <f>G29+H29-C29-E29</f>
        <v>0</v>
      </c>
      <c r="J29" s="41">
        <f>E29/E28-1</f>
        <v>-0.010295937623434</v>
      </c>
      <c r="K29" s="41">
        <f>G29/G28-1</f>
        <v>-0.00349279777100845</v>
      </c>
      <c r="L29" s="17">
        <f>G29-C29</f>
        <v>137786.017</v>
      </c>
    </row>
    <row r="30" ht="20.9" customHeight="1">
      <c r="B30" s="30"/>
      <c r="C30" s="12">
        <v>13538.974</v>
      </c>
      <c r="D30" s="13">
        <v>188280</v>
      </c>
      <c r="E30" s="13">
        <f>D30-C30</f>
        <v>174741.026</v>
      </c>
      <c r="F30" s="13">
        <f>275+3474+2660+3+9+1431+5021+17+2</f>
        <v>12892</v>
      </c>
      <c r="G30" s="13">
        <v>143524</v>
      </c>
      <c r="H30" s="13">
        <f>D30-G30</f>
        <v>44756</v>
      </c>
      <c r="I30" s="13">
        <f>G30+H30-C30-E30</f>
        <v>0</v>
      </c>
      <c r="J30" s="41">
        <f>E30/E29-1</f>
        <v>-0.0400849840063903</v>
      </c>
      <c r="K30" s="41">
        <f>G30/G29-1</f>
        <v>-0.039966822520552</v>
      </c>
      <c r="L30" s="17">
        <f>G30-C30</f>
        <v>129985.026</v>
      </c>
    </row>
    <row r="31" ht="20.9" customHeight="1">
      <c r="B31" s="30"/>
      <c r="C31" s="12">
        <v>18262.083</v>
      </c>
      <c r="D31" s="13">
        <v>192240</v>
      </c>
      <c r="E31" s="13">
        <f>D31-C31</f>
        <v>173977.917</v>
      </c>
      <c r="F31" s="13">
        <f>290+3407+2718+3+12+1365+6126+20+2</f>
        <v>13943</v>
      </c>
      <c r="G31" s="13">
        <v>147157</v>
      </c>
      <c r="H31" s="13">
        <f>D31-G31</f>
        <v>45083</v>
      </c>
      <c r="I31" s="13">
        <f>G31+H31-C31-E31</f>
        <v>0</v>
      </c>
      <c r="J31" s="41">
        <f>E31/E30-1</f>
        <v>-0.00436708549485111</v>
      </c>
      <c r="K31" s="41">
        <f>G31/G30-1</f>
        <v>0.0253128396644464</v>
      </c>
      <c r="L31" s="17">
        <f>G31-C31</f>
        <v>128894.917</v>
      </c>
    </row>
    <row r="32" ht="20.9" customHeight="1">
      <c r="B32" s="32">
        <v>2022</v>
      </c>
      <c r="C32" s="12">
        <f>C31+'Cashflow '!F32+'Cashflow '!G32+'Cashflow '!K32</f>
        <v>14099.783</v>
      </c>
      <c r="D32" s="13">
        <v>195992</v>
      </c>
      <c r="E32" s="13">
        <f>D32-C32</f>
        <v>181892.217</v>
      </c>
      <c r="F32" s="13">
        <f>1+15+5711+1429+24+3+2777+3386+293</f>
        <v>13639</v>
      </c>
      <c r="G32" s="13">
        <v>150847</v>
      </c>
      <c r="H32" s="13">
        <f>D32-G32</f>
        <v>45145</v>
      </c>
      <c r="I32" s="13">
        <f>G32+H32-C32-E32</f>
        <v>0</v>
      </c>
      <c r="J32" s="41">
        <f>E32/E31-1</f>
        <v>0.0454902560995715</v>
      </c>
      <c r="K32" s="41">
        <f>G32/G31-1</f>
        <v>0.0250752597565865</v>
      </c>
      <c r="L32" s="17">
        <f>G32-C32</f>
        <v>136747.217</v>
      </c>
    </row>
    <row r="33" ht="20.9" customHeight="1">
      <c r="B33" s="30"/>
      <c r="C33" s="12"/>
      <c r="D33" s="13"/>
      <c r="E33" s="13"/>
      <c r="F33" s="13"/>
      <c r="G33" s="13"/>
      <c r="H33" s="13"/>
      <c r="I33" s="13"/>
      <c r="J33" s="41"/>
      <c r="K33" s="41"/>
      <c r="L33" s="41"/>
    </row>
  </sheetData>
  <mergeCells count="1">
    <mergeCell ref="B2:L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20312" style="42" customWidth="1"/>
    <col min="2" max="2" width="6.86719" style="42" customWidth="1"/>
    <col min="3" max="5" width="8.32031" style="42" customWidth="1"/>
    <col min="6" max="16384" width="16.3516" style="42" customWidth="1"/>
  </cols>
  <sheetData>
    <row r="1" ht="7.3" customHeight="1"/>
    <row r="2" ht="27.65" customHeight="1">
      <c r="B2" t="s" s="2">
        <v>60</v>
      </c>
      <c r="C2" s="2"/>
      <c r="D2" s="2"/>
      <c r="E2" s="2"/>
    </row>
    <row r="3" ht="20.25" customHeight="1">
      <c r="B3" s="4"/>
      <c r="C3" t="s" s="3">
        <v>61</v>
      </c>
      <c r="D3" t="s" s="3">
        <v>62</v>
      </c>
      <c r="E3" t="s" s="3">
        <v>63</v>
      </c>
    </row>
    <row r="4" ht="20.25" customHeight="1">
      <c r="B4" s="24">
        <v>2018</v>
      </c>
      <c r="C4" s="43">
        <v>6875</v>
      </c>
      <c r="D4" s="44"/>
      <c r="E4" s="44"/>
    </row>
    <row r="5" ht="20.05" customHeight="1">
      <c r="B5" s="30"/>
      <c r="C5" s="45">
        <v>6375</v>
      </c>
      <c r="D5" s="19"/>
      <c r="E5" s="19"/>
    </row>
    <row r="6" ht="20.05" customHeight="1">
      <c r="B6" s="30"/>
      <c r="C6" s="45">
        <v>7200</v>
      </c>
      <c r="D6" s="19"/>
      <c r="E6" s="19"/>
    </row>
    <row r="7" ht="20.05" customHeight="1">
      <c r="B7" s="30"/>
      <c r="C7" s="45">
        <v>7600</v>
      </c>
      <c r="D7" s="19"/>
      <c r="E7" s="19"/>
    </row>
    <row r="8" ht="20.05" customHeight="1">
      <c r="B8" s="32">
        <v>2019</v>
      </c>
      <c r="C8" s="45">
        <v>9300</v>
      </c>
      <c r="D8" s="19"/>
      <c r="E8" s="19"/>
    </row>
    <row r="9" ht="20.05" customHeight="1">
      <c r="B9" s="30"/>
      <c r="C9" s="45">
        <v>4800</v>
      </c>
      <c r="D9" s="19"/>
      <c r="E9" s="19"/>
    </row>
    <row r="10" ht="20.05" customHeight="1">
      <c r="B10" s="30"/>
      <c r="C10" s="45">
        <v>4750</v>
      </c>
      <c r="D10" s="19"/>
      <c r="E10" s="19"/>
    </row>
    <row r="11" ht="20.05" customHeight="1">
      <c r="B11" s="30"/>
      <c r="C11" s="45">
        <v>3950</v>
      </c>
      <c r="D11" s="19"/>
      <c r="E11" s="19"/>
    </row>
    <row r="12" ht="20.05" customHeight="1">
      <c r="B12" s="32">
        <v>2020</v>
      </c>
      <c r="C12" s="45">
        <v>2090</v>
      </c>
      <c r="D12" s="19"/>
      <c r="E12" s="19"/>
    </row>
    <row r="13" ht="20.05" customHeight="1">
      <c r="B13" s="30"/>
      <c r="C13" s="45">
        <v>2690</v>
      </c>
      <c r="D13" s="19"/>
      <c r="E13" s="19"/>
    </row>
    <row r="14" ht="20.05" customHeight="1">
      <c r="B14" s="30"/>
      <c r="C14" s="16">
        <v>2170</v>
      </c>
      <c r="D14" s="19"/>
      <c r="E14" s="19"/>
    </row>
    <row r="15" ht="20.05" customHeight="1">
      <c r="B15" s="30"/>
      <c r="C15" s="16">
        <v>3140</v>
      </c>
      <c r="D15" s="19"/>
      <c r="E15" s="19"/>
    </row>
    <row r="16" ht="20.05" customHeight="1">
      <c r="B16" s="32">
        <v>2021</v>
      </c>
      <c r="C16" s="16">
        <v>2730</v>
      </c>
      <c r="D16" s="19"/>
      <c r="E16" s="19"/>
    </row>
    <row r="17" ht="20.05" customHeight="1">
      <c r="B17" s="30"/>
      <c r="C17" s="16">
        <v>2040</v>
      </c>
      <c r="D17" s="19"/>
      <c r="E17" s="19"/>
    </row>
    <row r="18" ht="20.05" customHeight="1">
      <c r="B18" s="30"/>
      <c r="C18" s="16">
        <v>2620</v>
      </c>
      <c r="D18" s="19"/>
      <c r="E18" s="17">
        <v>6410.506135671860</v>
      </c>
    </row>
    <row r="19" ht="20.05" customHeight="1">
      <c r="B19" s="30"/>
      <c r="C19" s="16">
        <v>2350</v>
      </c>
      <c r="D19" s="19"/>
      <c r="E19" s="19"/>
    </row>
    <row r="20" ht="20.05" customHeight="1">
      <c r="B20" s="32">
        <v>2022</v>
      </c>
      <c r="C20" s="16">
        <v>2440</v>
      </c>
      <c r="D20" s="19"/>
      <c r="E20" s="17">
        <v>7914.524709396640</v>
      </c>
    </row>
    <row r="21" ht="20.05" customHeight="1">
      <c r="B21" s="30"/>
      <c r="C21" s="16">
        <v>2470</v>
      </c>
      <c r="D21" s="17">
        <f>C21</f>
        <v>2470</v>
      </c>
      <c r="E21" s="17">
        <v>5783.127394249550</v>
      </c>
    </row>
    <row r="22" ht="20.05" customHeight="1">
      <c r="B22" s="30"/>
      <c r="C22" s="16"/>
      <c r="D22" s="17">
        <f>'Model'!F42</f>
        <v>4240.208875972740</v>
      </c>
      <c r="E22" s="19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2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8" width="12.7656" style="46" customWidth="1"/>
    <col min="9" max="16384" width="16.3516" style="46" customWidth="1"/>
  </cols>
  <sheetData>
    <row r="1" ht="27.65" customHeight="1">
      <c r="A1" t="s" s="2">
        <v>64</v>
      </c>
      <c r="B1" s="2"/>
      <c r="C1" s="2"/>
      <c r="D1" s="2"/>
      <c r="E1" s="2"/>
      <c r="F1" s="2"/>
      <c r="G1" s="2"/>
      <c r="H1" s="2"/>
    </row>
    <row r="2" ht="20.25" customHeight="1">
      <c r="A2" s="4"/>
      <c r="B2" t="s" s="3">
        <v>25</v>
      </c>
      <c r="C2" t="s" s="3">
        <v>26</v>
      </c>
      <c r="D2" t="s" s="3">
        <v>65</v>
      </c>
      <c r="E2" t="s" s="3">
        <v>25</v>
      </c>
      <c r="F2" t="s" s="3">
        <v>26</v>
      </c>
      <c r="G2" t="s" s="3">
        <v>65</v>
      </c>
      <c r="H2" s="4"/>
    </row>
    <row r="3" ht="20.25" customHeight="1">
      <c r="A3" s="24">
        <v>2001</v>
      </c>
      <c r="B3" s="25">
        <v>-2894.5</v>
      </c>
      <c r="C3" s="26">
        <v>-143.5</v>
      </c>
      <c r="D3" s="26">
        <f>B3+C3</f>
        <v>-3038</v>
      </c>
      <c r="E3" s="26">
        <f>B3</f>
        <v>-2894.5</v>
      </c>
      <c r="F3" s="26">
        <f>C3</f>
        <v>-143.5</v>
      </c>
      <c r="G3" s="26">
        <f>D3</f>
        <v>-3038</v>
      </c>
      <c r="H3" s="47"/>
    </row>
    <row r="4" ht="20.05" customHeight="1">
      <c r="A4" s="32">
        <v>2002</v>
      </c>
      <c r="B4" s="16">
        <v>100.7</v>
      </c>
      <c r="C4" s="17">
        <v>-466</v>
      </c>
      <c r="D4" s="17">
        <f>B4+C4</f>
        <v>-365.3</v>
      </c>
      <c r="E4" s="17">
        <f>B4+E3</f>
        <v>-2793.8</v>
      </c>
      <c r="F4" s="17">
        <f>C4+F3</f>
        <v>-609.5</v>
      </c>
      <c r="G4" s="17">
        <f>D4+G3</f>
        <v>-3403.3</v>
      </c>
      <c r="H4" s="34"/>
    </row>
    <row r="5" ht="20.05" customHeight="1">
      <c r="A5" s="32">
        <v>2003</v>
      </c>
      <c r="B5" s="16">
        <v>-799.4</v>
      </c>
      <c r="C5" s="17">
        <f>-103-11.9</f>
        <v>-114.9</v>
      </c>
      <c r="D5" s="17">
        <f>B5+C5</f>
        <v>-914.3</v>
      </c>
      <c r="E5" s="17">
        <f>B5+E4</f>
        <v>-3593.2</v>
      </c>
      <c r="F5" s="17">
        <f>C5+F4</f>
        <v>-724.4</v>
      </c>
      <c r="G5" s="17">
        <f>D5+G4</f>
        <v>-4317.6</v>
      </c>
      <c r="H5" s="34"/>
    </row>
    <row r="6" ht="20.05" customHeight="1">
      <c r="A6" s="32">
        <v>2004</v>
      </c>
      <c r="B6" s="16">
        <v>5600.6</v>
      </c>
      <c r="C6" s="17">
        <v>-1611</v>
      </c>
      <c r="D6" s="17">
        <f>B6+C6</f>
        <v>3989.6</v>
      </c>
      <c r="E6" s="17">
        <f>B6+E5</f>
        <v>2007.4</v>
      </c>
      <c r="F6" s="17">
        <f>C6+F5</f>
        <v>-2335.4</v>
      </c>
      <c r="G6" s="17">
        <f>D6+G5</f>
        <v>-328</v>
      </c>
      <c r="H6" s="34"/>
    </row>
    <row r="7" ht="20.05" customHeight="1">
      <c r="A7" s="32">
        <v>2005</v>
      </c>
      <c r="B7" s="16">
        <v>5356.4</v>
      </c>
      <c r="C7" s="17">
        <v>-401.6</v>
      </c>
      <c r="D7" s="17">
        <f>B7+C7</f>
        <v>4954.8</v>
      </c>
      <c r="E7" s="17">
        <f>B7+E6</f>
        <v>7363.8</v>
      </c>
      <c r="F7" s="17">
        <f>C7+F6</f>
        <v>-2737</v>
      </c>
      <c r="G7" s="17">
        <f>D7+G6</f>
        <v>4626.8</v>
      </c>
      <c r="H7" s="34"/>
    </row>
    <row r="8" ht="20.05" customHeight="1">
      <c r="A8" s="32">
        <v>2006</v>
      </c>
      <c r="B8" s="16">
        <v>2482.4</v>
      </c>
      <c r="C8" s="17">
        <f>-1061.4+80.8</f>
        <v>-980.6</v>
      </c>
      <c r="D8" s="17">
        <f>B8+C8</f>
        <v>1501.8</v>
      </c>
      <c r="E8" s="17">
        <f>B8+E7</f>
        <v>9846.200000000001</v>
      </c>
      <c r="F8" s="17">
        <f>C8+F7</f>
        <v>-3717.6</v>
      </c>
      <c r="G8" s="17">
        <f>D8+G7</f>
        <v>6128.6</v>
      </c>
      <c r="H8" s="34"/>
    </row>
    <row r="9" ht="20.05" customHeight="1">
      <c r="A9" s="32">
        <v>2007</v>
      </c>
      <c r="B9" s="16">
        <v>1002.2</v>
      </c>
      <c r="C9" s="17">
        <f>264.7-720.4</f>
        <v>-455.7</v>
      </c>
      <c r="D9" s="17">
        <f>B9+C9</f>
        <v>546.5</v>
      </c>
      <c r="E9" s="17">
        <f>B9+E8</f>
        <v>10848.4</v>
      </c>
      <c r="F9" s="17">
        <f>C9+F8</f>
        <v>-4173.3</v>
      </c>
      <c r="G9" s="17">
        <f>D9+G8</f>
        <v>6675.1</v>
      </c>
      <c r="H9" s="34"/>
    </row>
    <row r="10" ht="20.05" customHeight="1">
      <c r="A10" s="32">
        <v>2008</v>
      </c>
      <c r="B10" s="16">
        <v>1998.6</v>
      </c>
      <c r="C10" s="17">
        <f>37-1128</f>
        <v>-1091</v>
      </c>
      <c r="D10" s="17">
        <f>B10+C10</f>
        <v>907.6</v>
      </c>
      <c r="E10" s="17">
        <f>B10+E9</f>
        <v>12847</v>
      </c>
      <c r="F10" s="17">
        <f>C10+F9</f>
        <v>-5264.3</v>
      </c>
      <c r="G10" s="17">
        <f>D10+G9</f>
        <v>7582.7</v>
      </c>
      <c r="H10" s="34"/>
    </row>
    <row r="11" ht="20.05" customHeight="1">
      <c r="A11" s="32">
        <v>2009</v>
      </c>
      <c r="B11" s="16">
        <v>-4641.5</v>
      </c>
      <c r="C11" s="17">
        <f>-892.3+3895.1+65</f>
        <v>3067.8</v>
      </c>
      <c r="D11" s="17">
        <f>B11+C11</f>
        <v>-1573.7</v>
      </c>
      <c r="E11" s="17">
        <f>B11+E10</f>
        <v>8205.5</v>
      </c>
      <c r="F11" s="17">
        <f>C11+F10</f>
        <v>-2196.5</v>
      </c>
      <c r="G11" s="17">
        <f>D11+G10</f>
        <v>6009</v>
      </c>
      <c r="H11" s="34"/>
    </row>
    <row r="12" ht="20.05" customHeight="1">
      <c r="A12" s="32">
        <v>2010</v>
      </c>
      <c r="B12" s="16">
        <v>3292.1</v>
      </c>
      <c r="C12" s="17">
        <v>-808.2</v>
      </c>
      <c r="D12" s="17">
        <f>B12+C12</f>
        <v>2483.9</v>
      </c>
      <c r="E12" s="17">
        <f>B12+E11</f>
        <v>11497.6</v>
      </c>
      <c r="F12" s="17">
        <f>C12+F11</f>
        <v>-3004.7</v>
      </c>
      <c r="G12" s="17">
        <f>D12+G11</f>
        <v>8492.9</v>
      </c>
      <c r="H12" s="34"/>
    </row>
    <row r="13" ht="20.05" customHeight="1">
      <c r="A13" s="32">
        <v>2011</v>
      </c>
      <c r="B13" s="16">
        <v>7413.4</v>
      </c>
      <c r="C13" s="17">
        <f>-1074.6+4926.2+2.9</f>
        <v>3854.5</v>
      </c>
      <c r="D13" s="17">
        <f>B13+C13</f>
        <v>11267.9</v>
      </c>
      <c r="E13" s="17">
        <f>B13+E12</f>
        <v>18911</v>
      </c>
      <c r="F13" s="17">
        <f>C13+F12</f>
        <v>849.8</v>
      </c>
      <c r="G13" s="17">
        <f>D13+G12</f>
        <v>19760.8</v>
      </c>
      <c r="H13" s="34"/>
    </row>
    <row r="14" ht="20.05" customHeight="1">
      <c r="A14" s="32">
        <v>2012</v>
      </c>
      <c r="B14" s="16">
        <v>4747.1</v>
      </c>
      <c r="C14" s="17">
        <v>-1058.3</v>
      </c>
      <c r="D14" s="17">
        <f>B14+C14</f>
        <v>3688.8</v>
      </c>
      <c r="E14" s="17">
        <f>B14+E13</f>
        <v>23658.1</v>
      </c>
      <c r="F14" s="17">
        <f>C14+F13</f>
        <v>-208.5</v>
      </c>
      <c r="G14" s="17">
        <f>D14+G13</f>
        <v>23449.6</v>
      </c>
      <c r="H14" s="34"/>
    </row>
    <row r="15" ht="20.05" customHeight="1">
      <c r="A15" s="32">
        <v>2013</v>
      </c>
      <c r="B15" s="16">
        <v>4676.5</v>
      </c>
      <c r="C15" s="17">
        <f>-1257</f>
        <v>-1257</v>
      </c>
      <c r="D15" s="17">
        <f>B15+C15</f>
        <v>3419.5</v>
      </c>
      <c r="E15" s="17">
        <f>B15+E14</f>
        <v>28334.6</v>
      </c>
      <c r="F15" s="17">
        <f>C15+F14</f>
        <v>-1465.5</v>
      </c>
      <c r="G15" s="17">
        <f>D15+G14</f>
        <v>26869.1</v>
      </c>
      <c r="H15" s="34"/>
    </row>
    <row r="16" ht="20.05" customHeight="1">
      <c r="A16" s="32">
        <v>2014</v>
      </c>
      <c r="B16" s="16">
        <v>-1625.5</v>
      </c>
      <c r="C16" s="17">
        <v>-1071.1</v>
      </c>
      <c r="D16" s="17">
        <f>B16+C16</f>
        <v>-2696.6</v>
      </c>
      <c r="E16" s="17">
        <f>B16+E15</f>
        <v>26709.1</v>
      </c>
      <c r="F16" s="17">
        <f>C16+F15</f>
        <v>-2536.6</v>
      </c>
      <c r="G16" s="17">
        <f>D16+G15</f>
        <v>24172.5</v>
      </c>
      <c r="H16" s="34"/>
    </row>
    <row r="17" ht="20.05" customHeight="1">
      <c r="A17" s="32">
        <v>2015</v>
      </c>
      <c r="B17" s="16">
        <v>-4351.3</v>
      </c>
      <c r="C17" s="17">
        <v>-814.8</v>
      </c>
      <c r="D17" s="17">
        <f>B17+C17</f>
        <v>-5166.1</v>
      </c>
      <c r="E17" s="17">
        <f>B17+E16</f>
        <v>22357.8</v>
      </c>
      <c r="F17" s="17">
        <f>C17+F16</f>
        <v>-3351.4</v>
      </c>
      <c r="G17" s="17">
        <f>D17+G16</f>
        <v>19006.4</v>
      </c>
      <c r="H17" s="34"/>
    </row>
    <row r="18" ht="20.05" customHeight="1">
      <c r="A18" s="32">
        <v>2016</v>
      </c>
      <c r="B18" s="16">
        <v>-2998</v>
      </c>
      <c r="C18" s="17">
        <f>-762.4+75.6</f>
        <v>-686.8</v>
      </c>
      <c r="D18" s="17">
        <f>B18+C18</f>
        <v>-3684.8</v>
      </c>
      <c r="E18" s="17">
        <f>B18+E17</f>
        <v>19359.8</v>
      </c>
      <c r="F18" s="17">
        <f>C18+F17</f>
        <v>-4038.2</v>
      </c>
      <c r="G18" s="17">
        <f>D18+G17</f>
        <v>15321.6</v>
      </c>
      <c r="H18" s="34"/>
    </row>
    <row r="19" ht="20.05" customHeight="1">
      <c r="A19" s="32">
        <v>2017</v>
      </c>
      <c r="B19" s="16">
        <v>1016.6</v>
      </c>
      <c r="C19" s="17">
        <v>-993.6</v>
      </c>
      <c r="D19" s="17">
        <f>B19+C19</f>
        <v>23</v>
      </c>
      <c r="E19" s="17">
        <f>B19+E18</f>
        <v>20376.4</v>
      </c>
      <c r="F19" s="17">
        <f>C19+F18</f>
        <v>-5031.8</v>
      </c>
      <c r="G19" s="17">
        <f>D19+G18</f>
        <v>15344.6</v>
      </c>
      <c r="H19" s="34"/>
    </row>
    <row r="20" ht="20.05" customHeight="1">
      <c r="A20" s="32">
        <v>2018</v>
      </c>
      <c r="B20" s="16">
        <v>-3040.7</v>
      </c>
      <c r="C20" s="17">
        <v>-1341.5</v>
      </c>
      <c r="D20" s="17">
        <f>B20+C20</f>
        <v>-4382.2</v>
      </c>
      <c r="E20" s="17">
        <f>B20+E19</f>
        <v>17335.7</v>
      </c>
      <c r="F20" s="17">
        <f>C20+F19</f>
        <v>-6373.3</v>
      </c>
      <c r="G20" s="17">
        <f>D20+G19</f>
        <v>10962.4</v>
      </c>
      <c r="H20" s="34"/>
    </row>
    <row r="21" ht="20.05" customHeight="1">
      <c r="A21" s="32">
        <v>2019</v>
      </c>
      <c r="B21" s="16">
        <v>2537.5</v>
      </c>
      <c r="C21" s="17">
        <v>-1444.7</v>
      </c>
      <c r="D21" s="17">
        <f>B21+C21</f>
        <v>1092.8</v>
      </c>
      <c r="E21" s="17">
        <f>B21+E20</f>
        <v>19873.2</v>
      </c>
      <c r="F21" s="17">
        <f>C21+F20</f>
        <v>-7818</v>
      </c>
      <c r="G21" s="17">
        <f>D21+G20</f>
        <v>12055.2</v>
      </c>
      <c r="H21" s="33">
        <f>AVERAGE(D7:D23)</f>
        <v>-177.670588235294</v>
      </c>
    </row>
    <row r="22" ht="20.05" customHeight="1">
      <c r="A22" s="32">
        <v>2020</v>
      </c>
      <c r="B22" s="16">
        <v>-6483.7</v>
      </c>
      <c r="C22" s="17">
        <v>-1916.2</v>
      </c>
      <c r="D22" s="17">
        <f>B22+C22</f>
        <v>-8399.9</v>
      </c>
      <c r="E22" s="17">
        <f>B22+E21</f>
        <v>13389.5</v>
      </c>
      <c r="F22" s="17">
        <f>C22+F21</f>
        <v>-9734.200000000001</v>
      </c>
      <c r="G22" s="17">
        <f>D22+G21</f>
        <v>3655.3</v>
      </c>
      <c r="H22" s="33">
        <f>AVERAGE(D19:D23)</f>
        <v>-3734</v>
      </c>
    </row>
    <row r="23" ht="20.05" customHeight="1">
      <c r="A23" s="32">
        <v>2021</v>
      </c>
      <c r="B23" s="16">
        <f>SUM('Cashflow '!I28:I31)</f>
        <v>-6610</v>
      </c>
      <c r="C23" s="17">
        <f>SUM('Cashflow '!J28:J31)</f>
        <v>-393.7</v>
      </c>
      <c r="D23" s="17">
        <f>B23+C23</f>
        <v>-7003.7</v>
      </c>
      <c r="E23" s="17">
        <f>B23+E22</f>
        <v>6779.5</v>
      </c>
      <c r="F23" s="17">
        <f>C23+F22</f>
        <v>-10127.9</v>
      </c>
      <c r="G23" s="17">
        <f>D23+G22</f>
        <v>-3348.4</v>
      </c>
      <c r="H23" s="33">
        <f>D23</f>
        <v>-7003.7</v>
      </c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