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 Cashflow" sheetId="3" r:id="rId6"/>
    <sheet name="Balance Sheet " sheetId="4" r:id="rId7"/>
    <sheet name="Share price" sheetId="5" r:id="rId8"/>
    <sheet name="Capital " sheetId="6" r:id="rId9"/>
  </sheets>
</workbook>
</file>

<file path=xl/sharedStrings.xml><?xml version="1.0" encoding="utf-8"?>
<sst xmlns="http://schemas.openxmlformats.org/spreadsheetml/2006/main" uniqueCount="67">
  <si>
    <t>Financial model</t>
  </si>
  <si>
    <t>Rpbn</t>
  </si>
  <si>
    <t>4Q 2022</t>
  </si>
  <si>
    <t>Cashflow</t>
  </si>
  <si>
    <t>Growth</t>
  </si>
  <si>
    <t>Sales</t>
  </si>
  <si>
    <t>Cost ratio</t>
  </si>
  <si>
    <t>Cash costs</t>
  </si>
  <si>
    <t>Operating</t>
  </si>
  <si>
    <t>Investment</t>
  </si>
  <si>
    <t>Finance</t>
  </si>
  <si>
    <t>Equity</t>
  </si>
  <si>
    <t xml:space="preserve">Before revolver </t>
  </si>
  <si>
    <t xml:space="preserve">Revolver </t>
  </si>
  <si>
    <t>Beginning</t>
  </si>
  <si>
    <t>Change</t>
  </si>
  <si>
    <t>Ending</t>
  </si>
  <si>
    <t>Profit</t>
  </si>
  <si>
    <t xml:space="preserve">Depreciation </t>
  </si>
  <si>
    <t>Provision</t>
  </si>
  <si>
    <t xml:space="preserve">Net profit </t>
  </si>
  <si>
    <t>Balance sheet</t>
  </si>
  <si>
    <t>Other assets</t>
  </si>
  <si>
    <t>Net other assets</t>
  </si>
  <si>
    <t xml:space="preserve">Liabilities </t>
  </si>
  <si>
    <t xml:space="preserve">Equity </t>
  </si>
  <si>
    <t xml:space="preserve">Check </t>
  </si>
  <si>
    <t xml:space="preserve">Valuation </t>
  </si>
  <si>
    <t xml:space="preserve">Capital </t>
  </si>
  <si>
    <t xml:space="preserve">Current value </t>
  </si>
  <si>
    <t>P/assets</t>
  </si>
  <si>
    <t>Yield</t>
  </si>
  <si>
    <t>Cashfkow</t>
  </si>
  <si>
    <t xml:space="preserve">Forecast </t>
  </si>
  <si>
    <t xml:space="preserve">Value </t>
  </si>
  <si>
    <t>Shares</t>
  </si>
  <si>
    <t>Target</t>
  </si>
  <si>
    <t xml:space="preserve">Current </t>
  </si>
  <si>
    <t>V target</t>
  </si>
  <si>
    <t xml:space="preserve">12 month growth </t>
  </si>
  <si>
    <t xml:space="preserve">Sales forecasts </t>
  </si>
  <si>
    <t>Forecast</t>
  </si>
  <si>
    <t xml:space="preserve">Net income </t>
  </si>
  <si>
    <t>Sales to assets ratio</t>
  </si>
  <si>
    <t xml:space="preserve">Sales growth </t>
  </si>
  <si>
    <t>Costs</t>
  </si>
  <si>
    <t xml:space="preserve">Cashflow costs </t>
  </si>
  <si>
    <t>Receipts</t>
  </si>
  <si>
    <t>Operating before working capital</t>
  </si>
  <si>
    <t>Capex</t>
  </si>
  <si>
    <t xml:space="preserve">Operating </t>
  </si>
  <si>
    <t xml:space="preserve">Investing </t>
  </si>
  <si>
    <t xml:space="preserve">Beginning </t>
  </si>
  <si>
    <t xml:space="preserve">Free cashflow </t>
  </si>
  <si>
    <t>Capital</t>
  </si>
  <si>
    <t xml:space="preserve">  Cash</t>
  </si>
  <si>
    <t xml:space="preserve">Assets </t>
  </si>
  <si>
    <t>Other asset</t>
  </si>
  <si>
    <t>Depreciation</t>
  </si>
  <si>
    <t>Check</t>
  </si>
  <si>
    <t xml:space="preserve">Other assets growth </t>
  </si>
  <si>
    <t>Liabilities growth</t>
  </si>
  <si>
    <t>Share price</t>
  </si>
  <si>
    <t>BBTN</t>
  </si>
  <si>
    <t xml:space="preserve">Previous target </t>
  </si>
  <si>
    <t xml:space="preserve">Total </t>
  </si>
  <si>
    <t>Total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</si>
</sst>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0%_);[Red]\(0%\)"/>
    <numFmt numFmtId="60" formatCode="#,##0%"/>
    <numFmt numFmtId="61" formatCode="#,##0.0%_);[Red]\(#,##0.0%\)"/>
    <numFmt numFmtId="62" formatCode="#,##0.0%"/>
  </numFmts>
  <fonts count="6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8"/>
      <name val="Helvetica"/>
    </font>
    <font>
      <b val="1"/>
      <sz val="25"/>
      <color indexed="8"/>
      <name val="Helvetica Neue"/>
    </font>
    <font>
      <b val="1"/>
      <sz val="25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3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9" fontId="0" borderId="3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60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61" fontId="0" borderId="7" applyNumberFormat="1" applyFont="1" applyFill="0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62" fontId="0" borderId="4" applyNumberFormat="1" applyFont="1" applyFill="0" applyBorder="1" applyAlignment="1" applyProtection="0">
      <alignment vertical="top" wrapText="1"/>
    </xf>
    <xf numFmtId="62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1" fontId="0" borderId="4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borderId="4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58009"/>
          <c:y val="0.0426778"/>
          <c:w val="0.8338"/>
          <c:h val="0.886395"/>
        </c:manualLayout>
      </c:layout>
      <c:lineChart>
        <c:grouping val="standard"/>
        <c:varyColors val="0"/>
        <c:ser>
          <c:idx val="0"/>
          <c:order val="0"/>
          <c:tx>
            <c:strRef>
              <c:f>'Capital 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'!$A$11:$A$26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'Capital '!$E$11:$E$26</c:f>
              <c:numCache>
                <c:ptCount val="16"/>
                <c:pt idx="0">
                  <c:v>0.000000</c:v>
                </c:pt>
                <c:pt idx="1">
                  <c:v>254.000000</c:v>
                </c:pt>
                <c:pt idx="2">
                  <c:v>900.000000</c:v>
                </c:pt>
                <c:pt idx="3">
                  <c:v>779.000000</c:v>
                </c:pt>
                <c:pt idx="4">
                  <c:v>1022.000000</c:v>
                </c:pt>
                <c:pt idx="5">
                  <c:v>1123.000000</c:v>
                </c:pt>
                <c:pt idx="6">
                  <c:v>971.000000</c:v>
                </c:pt>
                <c:pt idx="7">
                  <c:v>-100.000000</c:v>
                </c:pt>
                <c:pt idx="8">
                  <c:v>-128.000000</c:v>
                </c:pt>
                <c:pt idx="9">
                  <c:v>988.000000</c:v>
                </c:pt>
                <c:pt idx="10">
                  <c:v>318.000000</c:v>
                </c:pt>
                <c:pt idx="11">
                  <c:v>-85.000000</c:v>
                </c:pt>
                <c:pt idx="12">
                  <c:v>-229.000000</c:v>
                </c:pt>
                <c:pt idx="13">
                  <c:v>-229.000000</c:v>
                </c:pt>
                <c:pt idx="14">
                  <c:v>102.000000</c:v>
                </c:pt>
                <c:pt idx="15">
                  <c:v>-6593.000000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 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'!$A$11:$A$26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'Capital '!$F$11:$F$26</c:f>
              <c:numCache>
                <c:ptCount val="16"/>
                <c:pt idx="0">
                  <c:v>0.000000</c:v>
                </c:pt>
                <c:pt idx="1">
                  <c:v>0.000000</c:v>
                </c:pt>
                <c:pt idx="2">
                  <c:v>-104.000000</c:v>
                </c:pt>
                <c:pt idx="3">
                  <c:v>-104.000000</c:v>
                </c:pt>
                <c:pt idx="4">
                  <c:v>-104.000000</c:v>
                </c:pt>
                <c:pt idx="5">
                  <c:v>-604.000000</c:v>
                </c:pt>
                <c:pt idx="6">
                  <c:v>-604.000000</c:v>
                </c:pt>
                <c:pt idx="7">
                  <c:v>-1297.000000</c:v>
                </c:pt>
                <c:pt idx="8">
                  <c:v>-1297.000000</c:v>
                </c:pt>
                <c:pt idx="9">
                  <c:v>-1397.000000</c:v>
                </c:pt>
                <c:pt idx="10">
                  <c:v>-1923.000000</c:v>
                </c:pt>
                <c:pt idx="11">
                  <c:v>-2502.000000</c:v>
                </c:pt>
                <c:pt idx="12">
                  <c:v>-3152.000000</c:v>
                </c:pt>
                <c:pt idx="13">
                  <c:v>-3952.000000</c:v>
                </c:pt>
                <c:pt idx="14">
                  <c:v>-4953.000000</c:v>
                </c:pt>
                <c:pt idx="15">
                  <c:v>-4953.000000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 '!$G$2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 '!$A$11:$A$26</c:f>
              <c:str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</c:strCache>
            </c:strRef>
          </c:cat>
          <c:val>
            <c:numRef>
              <c:f>'Capital '!$G$11:$G$26</c:f>
              <c:numCache>
                <c:ptCount val="16"/>
                <c:pt idx="0">
                  <c:v>0.000000</c:v>
                </c:pt>
                <c:pt idx="1">
                  <c:v>254.000000</c:v>
                </c:pt>
                <c:pt idx="2">
                  <c:v>796.000000</c:v>
                </c:pt>
                <c:pt idx="3">
                  <c:v>675.000000</c:v>
                </c:pt>
                <c:pt idx="4">
                  <c:v>918.000000</c:v>
                </c:pt>
                <c:pt idx="5">
                  <c:v>519.000000</c:v>
                </c:pt>
                <c:pt idx="6">
                  <c:v>367.000000</c:v>
                </c:pt>
                <c:pt idx="7">
                  <c:v>-1397.000000</c:v>
                </c:pt>
                <c:pt idx="8">
                  <c:v>-1425.000000</c:v>
                </c:pt>
                <c:pt idx="9">
                  <c:v>-409.000000</c:v>
                </c:pt>
                <c:pt idx="10">
                  <c:v>-1605.000000</c:v>
                </c:pt>
                <c:pt idx="11">
                  <c:v>-2587.000000</c:v>
                </c:pt>
                <c:pt idx="12">
                  <c:v>-3381.000000</c:v>
                </c:pt>
                <c:pt idx="13">
                  <c:v>-4181.000000</c:v>
                </c:pt>
                <c:pt idx="14">
                  <c:v>-4851.000000</c:v>
                </c:pt>
                <c:pt idx="15">
                  <c:v>-11546.000000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3750"/>
        <c:minorUnit val="187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29099"/>
          <c:y val="0.429733"/>
          <c:w val="0.311589"/>
          <c:h val="0.153033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534145</xdr:colOff>
      <xdr:row>1</xdr:row>
      <xdr:rowOff>37976</xdr:rowOff>
    </xdr:from>
    <xdr:to>
      <xdr:col>12</xdr:col>
      <xdr:colOff>1172031</xdr:colOff>
      <xdr:row>44</xdr:row>
      <xdr:rowOff>49218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737845" y="389131"/>
          <a:ext cx="8105487" cy="1098594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486756</xdr:colOff>
      <xdr:row>37</xdr:row>
      <xdr:rowOff>146865</xdr:rowOff>
    </xdr:from>
    <xdr:to>
      <xdr:col>4</xdr:col>
      <xdr:colOff>702530</xdr:colOff>
      <xdr:row>51</xdr:row>
      <xdr:rowOff>96268</xdr:rowOff>
    </xdr:to>
    <xdr:graphicFrame>
      <xdr:nvGraphicFramePr>
        <xdr:cNvPr id="4" name="2D Line Chart"/>
        <xdr:cNvGraphicFramePr/>
      </xdr:nvGraphicFramePr>
      <xdr:xfrm>
        <a:off x="486756" y="9649005"/>
        <a:ext cx="3720975" cy="3487624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251808</xdr:colOff>
      <xdr:row>34</xdr:row>
      <xdr:rowOff>7513</xdr:rowOff>
    </xdr:from>
    <xdr:to>
      <xdr:col>5</xdr:col>
      <xdr:colOff>618645</xdr:colOff>
      <xdr:row>37</xdr:row>
      <xdr:rowOff>231874</xdr:rowOff>
    </xdr:to>
    <xdr:sp>
      <xdr:nvSpPr>
        <xdr:cNvPr id="5" name="MEGA HAS RAPIDLY PAID OUT -7.2 TRILLION RUPIAH"/>
        <xdr:cNvSpPr txBox="1"/>
      </xdr:nvSpPr>
      <xdr:spPr>
        <a:xfrm>
          <a:off x="251808" y="8751463"/>
          <a:ext cx="4748338" cy="98255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MEGA HAS </a:t>
          </a:r>
          <a:r>
            <a:rPr b="1" baseline="0" cap="none" i="0" spc="0" strike="noStrike" sz="25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RAPIDLY</a:t>
          </a:r>
          <a:r>
            <a:rPr b="1" baseline="0" cap="none" i="0" spc="0" strike="noStrike" sz="25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PAID OUT -7.2 TRILLION RUPIAH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2:F43"/>
  <sheetViews>
    <sheetView workbookViewId="0" showGridLines="0" defaultGridColor="1">
      <pane topLeftCell="C3" xSplit="2" ySplit="2" activePane="bottomRight" state="frozen"/>
    </sheetView>
  </sheetViews>
  <sheetFormatPr defaultColWidth="16.3333" defaultRowHeight="19.9" customHeight="1" outlineLevelRow="0" outlineLevelCol="0"/>
  <cols>
    <col min="1" max="1" width="3.01562" style="1" customWidth="1"/>
    <col min="2" max="2" width="14.7656" style="1" customWidth="1"/>
    <col min="3" max="6" width="9.41406" style="1" customWidth="1"/>
    <col min="7" max="16384" width="16.3516" style="1" customWidth="1"/>
  </cols>
  <sheetData>
    <row r="1" ht="27.65" customHeight="1">
      <c r="B1" t="s" s="2">
        <v>0</v>
      </c>
      <c r="C1" s="2"/>
      <c r="D1" s="2"/>
      <c r="E1" s="2"/>
      <c r="F1" s="2"/>
    </row>
    <row r="2" ht="20.05" customHeight="1">
      <c r="B2" t="s" s="3">
        <v>1</v>
      </c>
      <c r="C2" s="4"/>
      <c r="D2" s="4"/>
      <c r="E2" s="4"/>
      <c r="F2" t="s" s="5">
        <v>2</v>
      </c>
    </row>
    <row r="3" ht="20.3" customHeight="1">
      <c r="B3" t="s" s="6">
        <v>3</v>
      </c>
      <c r="C3" s="7">
        <f>AVERAGE('Sales'!I12:I15)</f>
        <v>0.0497654267492979</v>
      </c>
      <c r="D3" s="8"/>
      <c r="E3" s="8"/>
      <c r="F3" s="8">
        <f>AVERAGE(C4:F4)</f>
        <v>0.005</v>
      </c>
    </row>
    <row r="4" ht="20.1" customHeight="1">
      <c r="B4" t="s" s="9">
        <v>4</v>
      </c>
      <c r="C4" s="10">
        <v>-0.05</v>
      </c>
      <c r="D4" s="11">
        <v>0</v>
      </c>
      <c r="E4" s="11">
        <v>0.02</v>
      </c>
      <c r="F4" s="11">
        <v>0.05</v>
      </c>
    </row>
    <row r="5" ht="20.1" customHeight="1">
      <c r="B5" t="s" s="9">
        <v>5</v>
      </c>
      <c r="C5" s="12">
        <f>' Cashflow'!C15*(1+C4)</f>
        <v>6535.05</v>
      </c>
      <c r="D5" s="13">
        <f>C5*(1+D4)</f>
        <v>6535.05</v>
      </c>
      <c r="E5" s="13">
        <f>D5*(1+E4)</f>
        <v>6665.751</v>
      </c>
      <c r="F5" s="13">
        <f>E5*(1+F4)</f>
        <v>6999.03855</v>
      </c>
    </row>
    <row r="6" ht="20.1" customHeight="1">
      <c r="B6" t="s" s="9">
        <v>6</v>
      </c>
      <c r="C6" s="14">
        <f>AVERAGE('Sales'!K13:K14)</f>
        <v>-0.824797637174934</v>
      </c>
      <c r="D6" s="15">
        <f>C6</f>
        <v>-0.824797637174934</v>
      </c>
      <c r="E6" s="15">
        <f>D6</f>
        <v>-0.824797637174934</v>
      </c>
      <c r="F6" s="15">
        <f>E6</f>
        <v>-0.824797637174934</v>
      </c>
    </row>
    <row r="7" ht="20.1" customHeight="1">
      <c r="B7" t="s" s="9">
        <v>7</v>
      </c>
      <c r="C7" s="16">
        <f>C6*C5</f>
        <v>-5390.093798820050</v>
      </c>
      <c r="D7" s="17">
        <f>D6*D5</f>
        <v>-5390.093798820050</v>
      </c>
      <c r="E7" s="17">
        <f>E6*E5</f>
        <v>-5497.895674796450</v>
      </c>
      <c r="F7" s="17">
        <f>F6*F5</f>
        <v>-5772.790458536280</v>
      </c>
    </row>
    <row r="8" ht="20.1" customHeight="1">
      <c r="B8" t="s" s="9">
        <v>8</v>
      </c>
      <c r="C8" s="16">
        <f>C5+C7</f>
        <v>1144.956201179950</v>
      </c>
      <c r="D8" s="17">
        <f>D5+D7</f>
        <v>1144.956201179950</v>
      </c>
      <c r="E8" s="17">
        <f>E5+E7</f>
        <v>1167.855325203550</v>
      </c>
      <c r="F8" s="17">
        <f>F5+F7</f>
        <v>1226.248091463720</v>
      </c>
    </row>
    <row r="9" ht="20.05" customHeight="1">
      <c r="B9" t="s" s="9">
        <v>9</v>
      </c>
      <c r="C9" s="16">
        <f>AVERAGE(' Cashflow'!F11)</f>
        <v>-199.5</v>
      </c>
      <c r="D9" s="17">
        <f>C9</f>
        <v>-199.5</v>
      </c>
      <c r="E9" s="17">
        <f>D9</f>
        <v>-199.5</v>
      </c>
      <c r="F9" s="17">
        <f>E9</f>
        <v>-199.5</v>
      </c>
    </row>
    <row r="10" ht="20.1" customHeight="1">
      <c r="B10" t="s" s="9">
        <v>10</v>
      </c>
      <c r="C10" s="16">
        <f>C11+C13</f>
        <v>-264.603100589975</v>
      </c>
      <c r="D10" s="17">
        <f>D11+D13</f>
        <v>-264.603100589975</v>
      </c>
      <c r="E10" s="17">
        <f>E11+E13</f>
        <v>-276.052662601775</v>
      </c>
      <c r="F10" s="17">
        <f>F11+F13</f>
        <v>-305.249045731860</v>
      </c>
    </row>
    <row r="11" ht="20.1" customHeight="1">
      <c r="B11" t="s" s="9">
        <v>11</v>
      </c>
      <c r="C11" s="16">
        <f>IF(C20&gt;0,-C20*0.5,0)</f>
        <v>-264.603100589975</v>
      </c>
      <c r="D11" s="17">
        <f>IF(D20&gt;0,-D20*0.5,0)</f>
        <v>-264.603100589975</v>
      </c>
      <c r="E11" s="17">
        <f>IF(E20&gt;0,-E20*0.5,0)</f>
        <v>-276.052662601775</v>
      </c>
      <c r="F11" s="17">
        <f>IF(F20&gt;0,-F20*0.5,0)</f>
        <v>-305.249045731860</v>
      </c>
    </row>
    <row r="12" ht="20.05" customHeight="1">
      <c r="B12" t="s" s="9">
        <v>12</v>
      </c>
      <c r="C12" s="16">
        <f>C8+C9+C11</f>
        <v>680.853100589975</v>
      </c>
      <c r="D12" s="17">
        <f>D8+D9+D11</f>
        <v>680.853100589975</v>
      </c>
      <c r="E12" s="17">
        <f>E8+E9+E11</f>
        <v>692.302662601775</v>
      </c>
      <c r="F12" s="17">
        <f>F8+F9+F11</f>
        <v>721.499045731860</v>
      </c>
    </row>
    <row r="13" ht="20.1" customHeight="1">
      <c r="B13" t="s" s="9">
        <v>13</v>
      </c>
      <c r="C13" s="16">
        <f>-MIN(0,C12)</f>
        <v>0</v>
      </c>
      <c r="D13" s="17">
        <f>-MIN(C26,D12)</f>
        <v>0</v>
      </c>
      <c r="E13" s="17">
        <f>-MIN(D26,E12)</f>
        <v>0</v>
      </c>
      <c r="F13" s="17">
        <f>-MIN(E26,F12)</f>
        <v>0</v>
      </c>
    </row>
    <row r="14" ht="20.1" customHeight="1">
      <c r="B14" t="s" s="9">
        <v>14</v>
      </c>
      <c r="C14" s="16">
        <f>'Balance Sheet '!C15</f>
        <v>41231</v>
      </c>
      <c r="D14" s="17">
        <f>C16</f>
        <v>41911.85310059</v>
      </c>
      <c r="E14" s="17">
        <f>D16</f>
        <v>42592.70620118</v>
      </c>
      <c r="F14" s="17">
        <f>E16</f>
        <v>43285.0088637818</v>
      </c>
    </row>
    <row r="15" ht="20.1" customHeight="1">
      <c r="B15" t="s" s="9">
        <v>15</v>
      </c>
      <c r="C15" s="16">
        <f>C8+C9+C10</f>
        <v>680.853100589975</v>
      </c>
      <c r="D15" s="17">
        <f>D8+D9+D10</f>
        <v>680.853100589975</v>
      </c>
      <c r="E15" s="17">
        <f>E8+E9+E10</f>
        <v>692.302662601775</v>
      </c>
      <c r="F15" s="17">
        <f>F8+F9+F10</f>
        <v>721.499045731860</v>
      </c>
    </row>
    <row r="16" ht="20.1" customHeight="1">
      <c r="B16" t="s" s="9">
        <v>16</v>
      </c>
      <c r="C16" s="16">
        <f>C14+C15</f>
        <v>41911.85310059</v>
      </c>
      <c r="D16" s="17">
        <f>D14+D15</f>
        <v>42592.70620118</v>
      </c>
      <c r="E16" s="17">
        <f>E14+E15</f>
        <v>43285.0088637818</v>
      </c>
      <c r="F16" s="17">
        <f>F14+F15</f>
        <v>44006.5079095137</v>
      </c>
    </row>
    <row r="17" ht="20.1" customHeight="1">
      <c r="B17" t="s" s="18">
        <v>17</v>
      </c>
      <c r="C17" s="19"/>
      <c r="D17" s="20"/>
      <c r="E17" s="20"/>
      <c r="F17" s="20"/>
    </row>
    <row r="18" ht="20.1" customHeight="1">
      <c r="B18" t="s" s="9">
        <v>18</v>
      </c>
      <c r="C18" s="16">
        <f>-AVERAGE('Sales'!F15)</f>
        <v>-124.25</v>
      </c>
      <c r="D18" s="17">
        <f>C18</f>
        <v>-124.25</v>
      </c>
      <c r="E18" s="17">
        <f>D18</f>
        <v>-124.25</v>
      </c>
      <c r="F18" s="17">
        <f>E18</f>
        <v>-124.25</v>
      </c>
    </row>
    <row r="19" ht="20.1" customHeight="1">
      <c r="B19" t="s" s="9">
        <v>19</v>
      </c>
      <c r="C19" s="16">
        <f>-AVERAGE('Sales'!E11:E12)</f>
        <v>-491.5</v>
      </c>
      <c r="D19" s="17">
        <f>C19</f>
        <v>-491.5</v>
      </c>
      <c r="E19" s="17">
        <f>D19</f>
        <v>-491.5</v>
      </c>
      <c r="F19" s="17">
        <f>E19</f>
        <v>-491.5</v>
      </c>
    </row>
    <row r="20" ht="20.1" customHeight="1">
      <c r="B20" t="s" s="9">
        <v>20</v>
      </c>
      <c r="C20" s="16">
        <f>C5+C7+C18+C19</f>
        <v>529.206201179950</v>
      </c>
      <c r="D20" s="17">
        <f>D5+D7+D18+D19</f>
        <v>529.206201179950</v>
      </c>
      <c r="E20" s="17">
        <f>E5+E7+E18+E19</f>
        <v>552.105325203550</v>
      </c>
      <c r="F20" s="17">
        <f>F5+F7+F18+F19</f>
        <v>610.498091463720</v>
      </c>
    </row>
    <row r="21" ht="20.1" customHeight="1">
      <c r="B21" t="s" s="18">
        <v>21</v>
      </c>
      <c r="C21" s="19"/>
      <c r="D21" s="20"/>
      <c r="E21" s="20"/>
      <c r="F21" s="20"/>
    </row>
    <row r="22" ht="20.1" customHeight="1">
      <c r="B22" t="s" s="9">
        <v>22</v>
      </c>
      <c r="C22" s="16">
        <f>'Balance Sheet '!E15+'Balance Sheet '!F15-C9</f>
        <v>334568.5</v>
      </c>
      <c r="D22" s="17">
        <f>C22-D9</f>
        <v>334768</v>
      </c>
      <c r="E22" s="17">
        <f>D22-E9</f>
        <v>334967.5</v>
      </c>
      <c r="F22" s="17">
        <f>E22-F9</f>
        <v>335167</v>
      </c>
    </row>
    <row r="23" ht="20.1" customHeight="1">
      <c r="B23" t="s" s="9">
        <v>18</v>
      </c>
      <c r="C23" s="16">
        <f>'Balance Sheet '!F15-C18-C19</f>
        <v>4347.75</v>
      </c>
      <c r="D23" s="17">
        <f>C23-D18-D19</f>
        <v>4963.5</v>
      </c>
      <c r="E23" s="17">
        <f>D23-E18-E19</f>
        <v>5579.25</v>
      </c>
      <c r="F23" s="17">
        <f>E23-F18-F19</f>
        <v>6195</v>
      </c>
    </row>
    <row r="24" ht="20.1" customHeight="1">
      <c r="B24" t="s" s="9">
        <v>23</v>
      </c>
      <c r="C24" s="16">
        <f>C22-C23</f>
        <v>330220.75</v>
      </c>
      <c r="D24" s="17">
        <f>D22-D23</f>
        <v>329804.5</v>
      </c>
      <c r="E24" s="17">
        <f>E22-E23</f>
        <v>329388.25</v>
      </c>
      <c r="F24" s="17">
        <f>F22-F23</f>
        <v>328972</v>
      </c>
    </row>
    <row r="25" ht="20.1" customHeight="1">
      <c r="B25" t="s" s="9">
        <v>24</v>
      </c>
      <c r="C25" s="16">
        <f>'Balance Sheet '!G15</f>
        <v>327694</v>
      </c>
      <c r="D25" s="17">
        <f>C25</f>
        <v>327694</v>
      </c>
      <c r="E25" s="17">
        <f>D25</f>
        <v>327694</v>
      </c>
      <c r="F25" s="17">
        <f>E25</f>
        <v>327694</v>
      </c>
    </row>
    <row r="26" ht="20.1" customHeight="1">
      <c r="B26" t="s" s="9">
        <v>13</v>
      </c>
      <c r="C26" s="16">
        <f>C13</f>
        <v>0</v>
      </c>
      <c r="D26" s="17">
        <f>C26+D13</f>
        <v>0</v>
      </c>
      <c r="E26" s="17">
        <f>D26+E13</f>
        <v>0</v>
      </c>
      <c r="F26" s="17">
        <f>E26+F13</f>
        <v>0</v>
      </c>
    </row>
    <row r="27" ht="20.1" customHeight="1">
      <c r="B27" t="s" s="9">
        <v>25</v>
      </c>
      <c r="C27" s="16">
        <f>'Balance Sheet '!H15+C20+C11</f>
        <v>44438.60310059</v>
      </c>
      <c r="D27" s="17">
        <f>C27+D20+D11</f>
        <v>44703.20620118</v>
      </c>
      <c r="E27" s="17">
        <f>D27+E20+E11</f>
        <v>44979.2588637818</v>
      </c>
      <c r="F27" s="17">
        <f>E27+F20+F11</f>
        <v>45284.5079095137</v>
      </c>
    </row>
    <row r="28" ht="20.1" customHeight="1">
      <c r="B28" t="s" s="9">
        <v>26</v>
      </c>
      <c r="C28" s="16">
        <f>C25+C26+C27-C16-C24</f>
        <v>0</v>
      </c>
      <c r="D28" s="17">
        <f>D25+D26+D27-D16-D24</f>
        <v>0</v>
      </c>
      <c r="E28" s="17">
        <f>E25+E26+E27-E16-E24</f>
        <v>0</v>
      </c>
      <c r="F28" s="17">
        <f>F25+F26+F27-F16-F24</f>
        <v>0</v>
      </c>
    </row>
    <row r="29" ht="20.1" customHeight="1">
      <c r="B29" t="s" s="18">
        <v>27</v>
      </c>
      <c r="C29" s="16"/>
      <c r="D29" s="17"/>
      <c r="E29" s="17"/>
      <c r="F29" s="17"/>
    </row>
    <row r="30" ht="20.1" customHeight="1">
      <c r="B30" t="s" s="9">
        <v>28</v>
      </c>
      <c r="C30" s="16">
        <f>' Cashflow'!Q15-C10</f>
        <v>-2997.396899410030</v>
      </c>
      <c r="D30" s="17">
        <f>C30-D10</f>
        <v>-2732.793798820060</v>
      </c>
      <c r="E30" s="17">
        <f>D30-E10</f>
        <v>-2456.741136218290</v>
      </c>
      <c r="F30" s="17">
        <f>E30-F10</f>
        <v>-2151.492090486430</v>
      </c>
    </row>
    <row r="31" ht="20.1" customHeight="1">
      <c r="B31" t="s" s="9">
        <v>29</v>
      </c>
      <c r="C31" s="16"/>
      <c r="D31" s="17"/>
      <c r="E31" s="17"/>
      <c r="F31" s="17">
        <v>18800</v>
      </c>
    </row>
    <row r="32" ht="20.1" customHeight="1">
      <c r="B32" t="s" s="9">
        <v>30</v>
      </c>
      <c r="C32" s="16"/>
      <c r="D32" s="17"/>
      <c r="E32" s="17"/>
      <c r="F32" s="21">
        <f>F31/(F16+F24)</f>
        <v>0.0504050490881393</v>
      </c>
    </row>
    <row r="33" ht="20.1" customHeight="1">
      <c r="B33" t="s" s="9">
        <v>31</v>
      </c>
      <c r="C33" s="16"/>
      <c r="D33" s="17"/>
      <c r="E33" s="17"/>
      <c r="F33" s="15">
        <f>-(C11+D11+E11+F11)/F31</f>
        <v>0.0590695696549779</v>
      </c>
    </row>
    <row r="34" ht="20.1" customHeight="1">
      <c r="B34" t="s" s="9">
        <v>32</v>
      </c>
      <c r="C34" s="16"/>
      <c r="D34" s="17"/>
      <c r="E34" s="17"/>
      <c r="F34" s="17">
        <f>SUM(C8:F9)</f>
        <v>3886.015819027170</v>
      </c>
    </row>
    <row r="35" ht="20.1" customHeight="1">
      <c r="B35" t="s" s="9">
        <v>27</v>
      </c>
      <c r="C35" s="16"/>
      <c r="D35" s="17"/>
      <c r="E35" s="17"/>
      <c r="F35" s="17">
        <f>F31/F34</f>
        <v>4.8378598738454</v>
      </c>
    </row>
    <row r="36" ht="20.1" customHeight="1">
      <c r="B36" t="s" s="9">
        <v>33</v>
      </c>
      <c r="C36" s="16"/>
      <c r="D36" s="17"/>
      <c r="E36" s="17"/>
      <c r="F36" s="17">
        <v>7</v>
      </c>
    </row>
    <row r="37" ht="20.1" customHeight="1">
      <c r="B37" t="s" s="9">
        <v>34</v>
      </c>
      <c r="C37" s="16"/>
      <c r="D37" s="17"/>
      <c r="E37" s="17"/>
      <c r="F37" s="17">
        <f>F34*F36</f>
        <v>27202.1107331902</v>
      </c>
    </row>
    <row r="38" ht="20.1" customHeight="1">
      <c r="B38" t="s" s="9">
        <v>35</v>
      </c>
      <c r="C38" s="12"/>
      <c r="D38" s="13"/>
      <c r="E38" s="13"/>
      <c r="F38" s="13">
        <f>F31/F40</f>
        <v>10.5915492957746</v>
      </c>
    </row>
    <row r="39" ht="20.1" customHeight="1">
      <c r="B39" t="s" s="9">
        <v>36</v>
      </c>
      <c r="C39" s="12"/>
      <c r="D39" s="13"/>
      <c r="E39" s="13"/>
      <c r="F39" s="13">
        <f>F37/F38</f>
        <v>2568.2843910326</v>
      </c>
    </row>
    <row r="40" ht="20.1" customHeight="1">
      <c r="B40" t="s" s="9">
        <v>37</v>
      </c>
      <c r="C40" s="12"/>
      <c r="D40" s="13"/>
      <c r="E40" s="13"/>
      <c r="F40" s="13">
        <f>'Share price'!C16</f>
        <v>1775</v>
      </c>
    </row>
    <row r="41" ht="20.1" customHeight="1">
      <c r="B41" t="s" s="9">
        <v>38</v>
      </c>
      <c r="C41" s="12"/>
      <c r="D41" s="13"/>
      <c r="E41" s="13"/>
      <c r="F41" s="15">
        <f>F39/F40-1</f>
        <v>0.446920783680338</v>
      </c>
    </row>
    <row r="42" ht="20.1" customHeight="1">
      <c r="B42" t="s" s="9">
        <v>39</v>
      </c>
      <c r="C42" s="12"/>
      <c r="D42" s="13"/>
      <c r="E42" s="13"/>
      <c r="F42" s="15">
        <f>'Sales'!C15/'Sales'!C11-1</f>
        <v>0.132821901323706</v>
      </c>
    </row>
    <row r="43" ht="20.1" customHeight="1">
      <c r="B43" t="s" s="9">
        <v>40</v>
      </c>
      <c r="C43" s="12"/>
      <c r="D43" s="13"/>
      <c r="E43" s="13"/>
      <c r="F43" s="15">
        <f>('Sales'!D9+'Sales'!D15+'Sales'!D10+'Sales'!D11+'Sales'!D12+'Sales'!D13+'Sales'!D14)/('Sales'!C9+'Sales'!C10+'Sales'!C11+'Sales'!C12+'Sales'!C13+'Sales'!C15+'Sales'!C14)-1</f>
        <v>-1</v>
      </c>
    </row>
  </sheetData>
  <mergeCells count="1">
    <mergeCell ref="B1:F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1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11719" style="22" customWidth="1"/>
    <col min="2" max="2" width="9.92969" style="22" customWidth="1"/>
    <col min="3" max="5" width="9.30469" style="22" customWidth="1"/>
    <col min="6" max="11" width="10.5312" style="22" customWidth="1"/>
    <col min="12" max="16384" width="16.3516" style="22" customWidth="1"/>
  </cols>
  <sheetData>
    <row r="1" ht="76.1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44.25" customHeight="1">
      <c r="B3" t="s" s="5">
        <v>1</v>
      </c>
      <c r="C3" t="s" s="5">
        <v>5</v>
      </c>
      <c r="D3" t="s" s="5">
        <v>41</v>
      </c>
      <c r="E3" t="s" s="5">
        <v>19</v>
      </c>
      <c r="F3" t="s" s="5">
        <v>18</v>
      </c>
      <c r="G3" t="s" s="5">
        <v>42</v>
      </c>
      <c r="H3" t="s" s="5">
        <v>43</v>
      </c>
      <c r="I3" t="s" s="5">
        <v>44</v>
      </c>
      <c r="J3" t="s" s="5">
        <v>45</v>
      </c>
      <c r="K3" t="s" s="5">
        <v>46</v>
      </c>
    </row>
    <row r="4" ht="20.25" customHeight="1">
      <c r="B4" s="23">
        <v>2019</v>
      </c>
      <c r="C4" s="24">
        <f>6421+222</f>
        <v>6643</v>
      </c>
      <c r="D4" s="25"/>
      <c r="E4" s="25">
        <v>253</v>
      </c>
      <c r="F4" s="25">
        <v>78.25</v>
      </c>
      <c r="G4" s="25">
        <v>723</v>
      </c>
      <c r="H4" s="26">
        <f>C4/'Balance Sheet '!E4</f>
        <v>0.0241181254447494</v>
      </c>
      <c r="I4" s="27"/>
      <c r="J4" s="27">
        <f>(G4+E4-C4+F4)/C4</f>
        <v>-0.841299111847057</v>
      </c>
      <c r="K4" s="27">
        <f>(' Cashflow'!E4-' Cashflow'!C4)/' Cashflow'!C4</f>
        <v>-0.936874897524184</v>
      </c>
    </row>
    <row r="5" ht="20.05" customHeight="1">
      <c r="B5" s="28"/>
      <c r="C5" s="16">
        <f>12784+458-C4</f>
        <v>6599</v>
      </c>
      <c r="D5" s="17"/>
      <c r="E5" s="17">
        <v>229</v>
      </c>
      <c r="F5" s="17">
        <v>78.25</v>
      </c>
      <c r="G5" s="17">
        <f>1306-G4</f>
        <v>583</v>
      </c>
      <c r="H5" s="29">
        <f>C5/'Balance Sheet '!E5</f>
        <v>0.0235240016825775</v>
      </c>
      <c r="I5" s="15">
        <f>' Cashflow'!C5/' Cashflow'!C4-1</f>
        <v>0.0404984423676012</v>
      </c>
      <c r="J5" s="15">
        <f>(G5+E5-C5+F5)/C5</f>
        <v>-0.865093195938779</v>
      </c>
      <c r="K5" s="15">
        <f>(' Cashflow'!E5-' Cashflow'!C5)/' Cashflow'!C5</f>
        <v>-0.897573274503624</v>
      </c>
    </row>
    <row r="6" ht="20.05" customHeight="1">
      <c r="B6" s="28"/>
      <c r="C6" s="16">
        <f>19373+644-C5-C4</f>
        <v>6775</v>
      </c>
      <c r="D6" s="17"/>
      <c r="E6" s="17">
        <v>1694</v>
      </c>
      <c r="F6" s="17">
        <v>78.25</v>
      </c>
      <c r="G6" s="17">
        <f>801-G5-G4</f>
        <v>-505</v>
      </c>
      <c r="H6" s="29">
        <f>C6/'Balance Sheet '!E6</f>
        <v>0.023272429985195</v>
      </c>
      <c r="I6" s="15">
        <f>' Cashflow'!C6/' Cashflow'!C5-1</f>
        <v>0.0504254648597542</v>
      </c>
      <c r="J6" s="15">
        <f>(G6+E6-C6+F6)/C6</f>
        <v>-0.812952029520295</v>
      </c>
      <c r="K6" s="15">
        <f>(' Cashflow'!E6-' Cashflow'!C6)/' Cashflow'!C6</f>
        <v>-0.800930093009301</v>
      </c>
    </row>
    <row r="7" ht="20.05" customHeight="1">
      <c r="B7" s="28"/>
      <c r="C7" s="16">
        <f>25720+833-C6-C5-C4</f>
        <v>6536</v>
      </c>
      <c r="D7" s="17"/>
      <c r="E7" s="17">
        <v>1311</v>
      </c>
      <c r="F7" s="17">
        <v>78.25</v>
      </c>
      <c r="G7" s="17">
        <f>209-G6-G5-G4</f>
        <v>-592</v>
      </c>
      <c r="H7" s="29">
        <f>C7/'Balance Sheet '!E7</f>
        <v>0.0232990050868544</v>
      </c>
      <c r="I7" s="15">
        <f>' Cashflow'!C7/' Cashflow'!C6-1</f>
        <v>-0.0253525352535254</v>
      </c>
      <c r="J7" s="15">
        <f>(G7+E7-C7+F7)/C7</f>
        <v>-0.878021725826193</v>
      </c>
      <c r="K7" s="15">
        <f>(' Cashflow'!E7-' Cashflow'!C7)/' Cashflow'!C7</f>
        <v>-0.836693858704017</v>
      </c>
    </row>
    <row r="8" ht="20.05" customHeight="1">
      <c r="B8" s="30">
        <v>2020</v>
      </c>
      <c r="C8" s="16">
        <f>6175+158</f>
        <v>6333</v>
      </c>
      <c r="D8" s="17"/>
      <c r="E8" s="17">
        <v>430</v>
      </c>
      <c r="F8" s="17">
        <v>132</v>
      </c>
      <c r="G8" s="17">
        <v>457</v>
      </c>
      <c r="H8" s="29">
        <f>C8/'Balance Sheet '!E8</f>
        <v>0.0228946369502738</v>
      </c>
      <c r="I8" s="15">
        <f>' Cashflow'!C8/' Cashflow'!C7-1</f>
        <v>-0.07311066646144369</v>
      </c>
      <c r="J8" s="15">
        <f>(G8+E8-C8+F8)/C8</f>
        <v>-0.839096794568135</v>
      </c>
      <c r="K8" s="15">
        <f>(' Cashflow'!E8-' Cashflow'!C8)/' Cashflow'!C8</f>
        <v>-0.799236134174693</v>
      </c>
    </row>
    <row r="9" ht="20.05" customHeight="1">
      <c r="B9" s="28"/>
      <c r="C9" s="16">
        <f>12361+336-C8</f>
        <v>6364</v>
      </c>
      <c r="D9" s="17"/>
      <c r="E9" s="17">
        <v>604</v>
      </c>
      <c r="F9" s="17">
        <v>132</v>
      </c>
      <c r="G9" s="17">
        <f>768-G8</f>
        <v>311</v>
      </c>
      <c r="H9" s="29">
        <f>C9/'Balance Sheet '!E9</f>
        <v>0.0221381162425035</v>
      </c>
      <c r="I9" s="15">
        <f>' Cashflow'!C9/' Cashflow'!C8-1</f>
        <v>-0.135669212886084</v>
      </c>
      <c r="J9" s="15">
        <f>(G9+E9-C9+F9)/C9</f>
        <v>-0.835480829666876</v>
      </c>
      <c r="K9" s="15">
        <f>(' Cashflow'!E9-' Cashflow'!C9)/' Cashflow'!C9</f>
        <v>-0.974255523535062</v>
      </c>
    </row>
    <row r="10" ht="20.05" customHeight="1">
      <c r="B10" s="28"/>
      <c r="C10" s="16">
        <f>18705+514-C9-C8</f>
        <v>6522</v>
      </c>
      <c r="D10" s="17"/>
      <c r="E10" s="17">
        <v>562</v>
      </c>
      <c r="F10" s="17">
        <v>132</v>
      </c>
      <c r="G10" s="17">
        <f>1120-G9-G8</f>
        <v>352</v>
      </c>
      <c r="H10" s="29">
        <f>C10/'Balance Sheet '!E10</f>
        <v>0.02143582563425</v>
      </c>
      <c r="I10" s="15">
        <f>' Cashflow'!C10/' Cashflow'!C9-1</f>
        <v>-0.00537944284341979</v>
      </c>
      <c r="J10" s="15">
        <f>(G10+E10-C10+F10)/C10</f>
        <v>-0.8396197485433921</v>
      </c>
      <c r="K10" s="15">
        <f>(' Cashflow'!E10-' Cashflow'!C10)/' Cashflow'!C10</f>
        <v>-1.00115897237782</v>
      </c>
    </row>
    <row r="11" ht="20.05" customHeight="1">
      <c r="B11" s="28"/>
      <c r="C11" s="16">
        <f>25106+761-C10-C9-C8</f>
        <v>6648</v>
      </c>
      <c r="D11" s="17"/>
      <c r="E11" s="17">
        <v>663</v>
      </c>
      <c r="F11" s="17">
        <v>132</v>
      </c>
      <c r="G11" s="17">
        <f>1602-G10-G9-G8</f>
        <v>482</v>
      </c>
      <c r="H11" s="29">
        <f>C11/'Balance Sheet '!E11</f>
        <v>0.0203570444315154</v>
      </c>
      <c r="I11" s="15">
        <f>' Cashflow'!C11/' Cashflow'!C10-1</f>
        <v>0.150086922928337</v>
      </c>
      <c r="J11" s="15">
        <f>(G11+E11-C11+F11)/C11</f>
        <v>-0.807912154031288</v>
      </c>
      <c r="K11" s="15">
        <f>(' Cashflow'!E11-' Cashflow'!C11)/' Cashflow'!C11</f>
        <v>-0.909640577762849</v>
      </c>
    </row>
    <row r="12" ht="20.05" customHeight="1">
      <c r="B12" s="30">
        <v>2021</v>
      </c>
      <c r="C12" s="16">
        <f>6342+175</f>
        <v>6517</v>
      </c>
      <c r="D12" s="17"/>
      <c r="E12" s="17">
        <v>320</v>
      </c>
      <c r="F12" s="17">
        <v>124.25</v>
      </c>
      <c r="G12" s="17">
        <v>625</v>
      </c>
      <c r="H12" s="29">
        <f>C12/'Balance Sheet '!E12</f>
        <v>0.0188395071721371</v>
      </c>
      <c r="I12" s="15">
        <f>' Cashflow'!C12/' Cashflow'!C11-1</f>
        <v>-0.0955660060463554</v>
      </c>
      <c r="J12" s="15">
        <f>(G12+E12-C12+F12)/C12</f>
        <v>-0.835929108485499</v>
      </c>
      <c r="K12" s="15">
        <f>(' Cashflow'!E12-' Cashflow'!C12)/' Cashflow'!C12</f>
        <v>-0.937604456824513</v>
      </c>
    </row>
    <row r="13" ht="20.05" customHeight="1">
      <c r="B13" s="28"/>
      <c r="C13" s="16">
        <f>12515+369-C12</f>
        <v>6367</v>
      </c>
      <c r="D13" s="17"/>
      <c r="E13" s="17">
        <v>996</v>
      </c>
      <c r="F13" s="17">
        <v>124.25</v>
      </c>
      <c r="G13" s="17">
        <f>920-G12</f>
        <v>295</v>
      </c>
      <c r="H13" s="29">
        <f>C13/'Balance Sheet '!E13</f>
        <v>0.01926265217707</v>
      </c>
      <c r="I13" s="15">
        <f>' Cashflow'!C13/' Cashflow'!C12-1</f>
        <v>0.00389972144846797</v>
      </c>
      <c r="J13" s="15">
        <f>(G13+E13-C13+F13)/C13</f>
        <v>-0.777721061724517</v>
      </c>
      <c r="K13" s="15">
        <f>(' Cashflow'!E13-' Cashflow'!C13)/' Cashflow'!C13</f>
        <v>-0.887532371439142</v>
      </c>
    </row>
    <row r="14" ht="20.05" customHeight="1">
      <c r="B14" s="28"/>
      <c r="C14" s="16">
        <f>18555+562-C13-C12</f>
        <v>6233</v>
      </c>
      <c r="D14" s="17"/>
      <c r="E14" s="17">
        <v>714</v>
      </c>
      <c r="F14" s="17">
        <v>124.25</v>
      </c>
      <c r="G14" s="17">
        <f>1515-G13-G12</f>
        <v>595</v>
      </c>
      <c r="H14" s="29">
        <f>C14/'Balance Sheet '!E14</f>
        <v>0.0186934106702096</v>
      </c>
      <c r="I14" s="15">
        <f>' Cashflow'!C14/' Cashflow'!C13-1</f>
        <v>-0.0530891601923788</v>
      </c>
      <c r="J14" s="15">
        <f>(G14+E14-C14+F14)/C14</f>
        <v>-0.7700545483715709</v>
      </c>
      <c r="K14" s="15">
        <f>(' Cashflow'!E14-' Cashflow'!C14)/' Cashflow'!C14</f>
        <v>-0.762062902910725</v>
      </c>
    </row>
    <row r="15" ht="20.05" customHeight="1">
      <c r="B15" s="28"/>
      <c r="C15" s="16">
        <f>25795+853-C14-C13-C12</f>
        <v>7531</v>
      </c>
      <c r="D15" s="17"/>
      <c r="E15" s="17">
        <v>1598</v>
      </c>
      <c r="F15" s="17">
        <v>124.25</v>
      </c>
      <c r="G15" s="17">
        <f>2376-G14-G13-G12</f>
        <v>861</v>
      </c>
      <c r="H15" s="29">
        <f>C15/'Balance Sheet '!E15</f>
        <v>0.0227772451359043</v>
      </c>
      <c r="I15" s="15">
        <f>' Cashflow'!C15/' Cashflow'!C14-1</f>
        <v>0.343817151787458</v>
      </c>
      <c r="J15" s="15">
        <f>(G15+E15-C15+F15)/C15</f>
        <v>-0.65698446421458</v>
      </c>
      <c r="K15" s="15">
        <f>(' Cashflow'!E15-' Cashflow'!C15)/' Cashflow'!C15</f>
        <v>-0.880215147550516</v>
      </c>
    </row>
    <row r="16" ht="20.05" customHeight="1">
      <c r="B16" s="30">
        <v>2022</v>
      </c>
      <c r="C16" s="16"/>
      <c r="D16" s="17">
        <f>'Model'!C5</f>
        <v>6535.05</v>
      </c>
      <c r="E16" s="17"/>
      <c r="F16" s="31"/>
      <c r="G16" s="17"/>
      <c r="H16" s="31"/>
      <c r="I16" s="11"/>
      <c r="J16" s="31"/>
      <c r="K16" s="11">
        <f>'Model'!C6</f>
        <v>-0.824797637174934</v>
      </c>
    </row>
    <row r="17" ht="20.05" customHeight="1">
      <c r="B17" s="28"/>
      <c r="C17" s="16"/>
      <c r="D17" s="17">
        <f>SUM('Model'!D5)</f>
        <v>6535.05</v>
      </c>
      <c r="E17" s="17"/>
      <c r="F17" s="17"/>
      <c r="G17" s="17"/>
      <c r="H17" s="31"/>
      <c r="I17" s="11"/>
      <c r="J17" s="11"/>
      <c r="K17" s="11"/>
    </row>
    <row r="18" ht="20.05" customHeight="1">
      <c r="B18" s="28"/>
      <c r="C18" s="16"/>
      <c r="D18" s="17">
        <f>'Model'!E5</f>
        <v>6665.751</v>
      </c>
      <c r="E18" s="17"/>
      <c r="F18" s="17"/>
      <c r="G18" s="17"/>
      <c r="H18" s="31"/>
      <c r="I18" s="11"/>
      <c r="J18" s="11"/>
      <c r="K18" s="11"/>
    </row>
    <row r="19" ht="20.05" customHeight="1">
      <c r="B19" s="28"/>
      <c r="C19" s="16"/>
      <c r="D19" s="17">
        <f>'Model'!F5</f>
        <v>6999.03855</v>
      </c>
      <c r="E19" s="17"/>
      <c r="F19" s="17"/>
      <c r="G19" s="17"/>
      <c r="H19" s="31"/>
      <c r="I19" s="11"/>
      <c r="J19" s="11"/>
      <c r="K19" s="11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Q19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16406" style="32" customWidth="1"/>
    <col min="2" max="17" width="9.34375" style="32" customWidth="1"/>
    <col min="18" max="16384" width="16.3516" style="32" customWidth="1"/>
  </cols>
  <sheetData>
    <row r="1" ht="16.6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56.25" customHeight="1">
      <c r="B3" t="s" s="5">
        <v>1</v>
      </c>
      <c r="C3" t="s" s="5">
        <v>47</v>
      </c>
      <c r="D3" t="s" s="5">
        <v>33</v>
      </c>
      <c r="E3" t="s" s="5">
        <v>48</v>
      </c>
      <c r="F3" t="s" s="5">
        <v>49</v>
      </c>
      <c r="G3" t="s" s="5">
        <v>50</v>
      </c>
      <c r="H3" t="s" s="5">
        <v>51</v>
      </c>
      <c r="I3" t="s" s="5">
        <v>24</v>
      </c>
      <c r="J3" t="s" s="5">
        <v>25</v>
      </c>
      <c r="K3" t="s" s="5">
        <v>10</v>
      </c>
      <c r="L3" t="s" s="5">
        <v>52</v>
      </c>
      <c r="M3" t="s" s="5">
        <v>15</v>
      </c>
      <c r="N3" t="s" s="5">
        <v>16</v>
      </c>
      <c r="O3" t="s" s="5">
        <v>53</v>
      </c>
      <c r="P3" t="s" s="5">
        <v>3</v>
      </c>
      <c r="Q3" t="s" s="5">
        <v>54</v>
      </c>
    </row>
    <row r="4" ht="20.25" customHeight="1">
      <c r="B4" s="23">
        <v>2019</v>
      </c>
      <c r="C4" s="24">
        <f>6060+39</f>
        <v>6099</v>
      </c>
      <c r="D4" s="25"/>
      <c r="E4" s="25">
        <v>385</v>
      </c>
      <c r="F4" s="25">
        <v>-48</v>
      </c>
      <c r="G4" s="25">
        <v>-17660</v>
      </c>
      <c r="H4" s="25">
        <v>-3084</v>
      </c>
      <c r="I4" s="25">
        <f>3347-1950</f>
        <v>1397</v>
      </c>
      <c r="J4" s="25"/>
      <c r="K4" s="25">
        <v>1939</v>
      </c>
      <c r="L4" s="25">
        <v>44715</v>
      </c>
      <c r="M4" s="25">
        <f>G4+H4+K4</f>
        <v>-18805</v>
      </c>
      <c r="N4" s="25">
        <f>L4+M4</f>
        <v>25910</v>
      </c>
      <c r="O4" s="25">
        <f>E4+F4</f>
        <v>337</v>
      </c>
      <c r="P4" s="25">
        <f>AVERAGE(O4:O4)</f>
        <v>337</v>
      </c>
      <c r="Q4" s="25">
        <f>-(I4+J4)</f>
        <v>-1397</v>
      </c>
    </row>
    <row r="5" ht="20.05" customHeight="1">
      <c r="B5" s="28"/>
      <c r="C5" s="16">
        <f>12382+63-C4</f>
        <v>6346</v>
      </c>
      <c r="D5" s="17"/>
      <c r="E5" s="17">
        <f>1035-E4</f>
        <v>650</v>
      </c>
      <c r="F5" s="17">
        <f>-140-F4</f>
        <v>-92</v>
      </c>
      <c r="G5" s="17">
        <f>-15007-G4</f>
        <v>2653</v>
      </c>
      <c r="H5" s="17">
        <f>-1495-H4</f>
        <v>1589</v>
      </c>
      <c r="I5" s="17">
        <f>-2810+4144+11068-8100-I4</f>
        <v>2905</v>
      </c>
      <c r="J5" s="17">
        <v>-562</v>
      </c>
      <c r="K5" s="17">
        <f>3740-K4</f>
        <v>1801</v>
      </c>
      <c r="L5" s="17">
        <f>N4</f>
        <v>25910</v>
      </c>
      <c r="M5" s="17">
        <f>G5+H5+K5</f>
        <v>6043</v>
      </c>
      <c r="N5" s="17">
        <f>L5+M5</f>
        <v>31953</v>
      </c>
      <c r="O5" s="17">
        <f>E5+F5</f>
        <v>558</v>
      </c>
      <c r="P5" s="17">
        <f>AVERAGE(O4:O5)</f>
        <v>447.5</v>
      </c>
      <c r="Q5" s="17">
        <f>-(I5+J5)+Q4</f>
        <v>-3740</v>
      </c>
    </row>
    <row r="6" ht="20.05" customHeight="1">
      <c r="B6" s="28"/>
      <c r="C6" s="16">
        <f>19111-C5-C4</f>
        <v>6666</v>
      </c>
      <c r="D6" s="17"/>
      <c r="E6" s="17">
        <f>2362-E5-E4</f>
        <v>1327</v>
      </c>
      <c r="F6" s="17">
        <f>-238-F5-F4</f>
        <v>-98</v>
      </c>
      <c r="G6" s="17">
        <f>-18880-G5-G4</f>
        <v>-3873</v>
      </c>
      <c r="H6" s="17">
        <f>-6212-H5-H4</f>
        <v>-4717</v>
      </c>
      <c r="I6" s="17">
        <f>4138-4547+9732-3291-I5-I4</f>
        <v>1730</v>
      </c>
      <c r="J6" s="17">
        <f>-562-J5</f>
        <v>0</v>
      </c>
      <c r="K6" s="17">
        <f>5471-K5-K4</f>
        <v>1731</v>
      </c>
      <c r="L6" s="17">
        <f>N5</f>
        <v>31953</v>
      </c>
      <c r="M6" s="17">
        <f>G6+H6+K6</f>
        <v>-6859</v>
      </c>
      <c r="N6" s="17">
        <f>L6+M6</f>
        <v>25094</v>
      </c>
      <c r="O6" s="17">
        <f>E6+F6</f>
        <v>1229</v>
      </c>
      <c r="P6" s="17">
        <f>AVERAGE(O4:O6)</f>
        <v>708</v>
      </c>
      <c r="Q6" s="17">
        <f>-(I6+J6)+Q5</f>
        <v>-5470</v>
      </c>
    </row>
    <row r="7" ht="20.05" customHeight="1">
      <c r="B7" s="28"/>
      <c r="C7" s="16">
        <f>25454+154-C6-C5-C4</f>
        <v>6497</v>
      </c>
      <c r="D7" s="17"/>
      <c r="E7" s="17">
        <f>3423-E6-E5-E4</f>
        <v>1061</v>
      </c>
      <c r="F7" s="17">
        <f>-367-F6-F5-F4</f>
        <v>-129</v>
      </c>
      <c r="G7" s="17">
        <f>-14828-G6-G5-G4</f>
        <v>4052</v>
      </c>
      <c r="H7" s="17">
        <f>-7077-H6-H5-H4</f>
        <v>-865</v>
      </c>
      <c r="I7" s="17">
        <f>8440-J7-J6-J5-I6-I5-I4</f>
        <v>2970</v>
      </c>
      <c r="J7" s="17">
        <f>-562-J6-J5</f>
        <v>0</v>
      </c>
      <c r="K7" s="17">
        <f>8440-K6-K5-K4</f>
        <v>2969</v>
      </c>
      <c r="L7" s="17">
        <f>N6</f>
        <v>25094</v>
      </c>
      <c r="M7" s="17">
        <f>G7+H7+K7</f>
        <v>6156</v>
      </c>
      <c r="N7" s="17">
        <f>L7+M7</f>
        <v>31250</v>
      </c>
      <c r="O7" s="17">
        <f>E7+F7</f>
        <v>932</v>
      </c>
      <c r="P7" s="17">
        <f>AVERAGE(O4:O7)</f>
        <v>764</v>
      </c>
      <c r="Q7" s="17">
        <f>-(I7+J7)+Q6</f>
        <v>-8440</v>
      </c>
    </row>
    <row r="8" ht="20.05" customHeight="1">
      <c r="B8" s="30">
        <v>2020</v>
      </c>
      <c r="C8" s="16">
        <f>5973+49</f>
        <v>6022</v>
      </c>
      <c r="D8" s="17"/>
      <c r="E8" s="17">
        <v>1209</v>
      </c>
      <c r="F8" s="17">
        <v>-199.5</v>
      </c>
      <c r="G8" s="17">
        <v>-7221</v>
      </c>
      <c r="H8" s="17">
        <v>2955</v>
      </c>
      <c r="I8" s="17">
        <f>4532+1104-1000</f>
        <v>4636</v>
      </c>
      <c r="J8" s="17">
        <v>-21</v>
      </c>
      <c r="K8" s="17">
        <f>4588</f>
        <v>4588</v>
      </c>
      <c r="L8" s="17">
        <f>N7</f>
        <v>31250</v>
      </c>
      <c r="M8" s="17">
        <f>G8+H8+K8</f>
        <v>322</v>
      </c>
      <c r="N8" s="17">
        <f>L8+M8</f>
        <v>31572</v>
      </c>
      <c r="O8" s="17">
        <f>E8+F8</f>
        <v>1009.5</v>
      </c>
      <c r="P8" s="17">
        <f>AVERAGE(O5:O8)</f>
        <v>932.125</v>
      </c>
      <c r="Q8" s="17">
        <f>-(I8+J8)+Q7</f>
        <v>-13055</v>
      </c>
    </row>
    <row r="9" ht="20.05" customHeight="1">
      <c r="B9" s="28"/>
      <c r="C9" s="16">
        <f>11143+84-C8</f>
        <v>5205</v>
      </c>
      <c r="D9" s="17"/>
      <c r="E9" s="17">
        <f>1343-E8</f>
        <v>134</v>
      </c>
      <c r="F9" s="17">
        <v>-199.5</v>
      </c>
      <c r="G9" s="17">
        <f>-3377-G8</f>
        <v>3844</v>
      </c>
      <c r="H9" s="17">
        <f>-7429-H8</f>
        <v>-10384</v>
      </c>
      <c r="I9" s="17">
        <f>-1600+4072+10295-6000-I8</f>
        <v>2131</v>
      </c>
      <c r="J9" s="17">
        <f>-21-J8</f>
        <v>0</v>
      </c>
      <c r="K9" s="17">
        <f>6691-K8</f>
        <v>2103</v>
      </c>
      <c r="L9" s="17">
        <f>N8</f>
        <v>31572</v>
      </c>
      <c r="M9" s="17">
        <f>G9+H9+K9</f>
        <v>-4437</v>
      </c>
      <c r="N9" s="17">
        <f>L9+M9</f>
        <v>27135</v>
      </c>
      <c r="O9" s="17">
        <f>E9+F9</f>
        <v>-65.5</v>
      </c>
      <c r="P9" s="17">
        <f>AVERAGE(O6:O9)</f>
        <v>776.25</v>
      </c>
      <c r="Q9" s="17">
        <f>-(I9+J9)+Q8</f>
        <v>-15186</v>
      </c>
    </row>
    <row r="10" ht="20.05" customHeight="1">
      <c r="B10" s="28"/>
      <c r="C10" s="16">
        <f>16266+138-C9-C8</f>
        <v>5177</v>
      </c>
      <c r="D10" s="17"/>
      <c r="E10" s="17">
        <f>1337-E9-E8</f>
        <v>-6</v>
      </c>
      <c r="F10" s="17">
        <v>-199.5</v>
      </c>
      <c r="G10" s="17">
        <f>33204-G9-G8</f>
        <v>36581</v>
      </c>
      <c r="H10" s="17">
        <f>-16597-H9-H8</f>
        <v>-9168</v>
      </c>
      <c r="I10" s="17">
        <f>1550-5373+4072+13151-7500-I9-I8</f>
        <v>-867</v>
      </c>
      <c r="J10" s="17">
        <v>0</v>
      </c>
      <c r="K10" s="17">
        <f>4860-K9-K8</f>
        <v>-1831</v>
      </c>
      <c r="L10" s="17">
        <f>N9</f>
        <v>27135</v>
      </c>
      <c r="M10" s="17">
        <f>G10+H10+K10</f>
        <v>25582</v>
      </c>
      <c r="N10" s="17">
        <f>L10+M10</f>
        <v>52717</v>
      </c>
      <c r="O10" s="17">
        <f>E10+F10</f>
        <v>-205.5</v>
      </c>
      <c r="P10" s="17">
        <f>AVERAGE(O7:O10)</f>
        <v>417.625</v>
      </c>
      <c r="Q10" s="17">
        <f>-(I10+J10)+Q9</f>
        <v>-14319</v>
      </c>
    </row>
    <row r="11" ht="20.05" customHeight="1">
      <c r="B11" s="28"/>
      <c r="C11" s="16">
        <f>22026+332-C10-C9-C8</f>
        <v>5954</v>
      </c>
      <c r="D11" s="17"/>
      <c r="E11" s="17">
        <f>1875-E10-E9-E8</f>
        <v>538</v>
      </c>
      <c r="F11" s="17">
        <v>-199.5</v>
      </c>
      <c r="G11" s="17">
        <f>26533-G10-G9-G8</f>
        <v>-6671</v>
      </c>
      <c r="H11" s="17">
        <f>-23727-H10-H9-H8</f>
        <v>-7130</v>
      </c>
      <c r="I11" s="17">
        <f>582+935-J8-I10-I9-I8</f>
        <v>-4362</v>
      </c>
      <c r="J11" s="17">
        <v>0</v>
      </c>
      <c r="K11" s="17">
        <f>582-K10-K9-K8</f>
        <v>-4278</v>
      </c>
      <c r="L11" s="17">
        <f>N10</f>
        <v>52717</v>
      </c>
      <c r="M11" s="17">
        <f>G11+H11+K11</f>
        <v>-18079</v>
      </c>
      <c r="N11" s="17">
        <f>L11+M11</f>
        <v>34638</v>
      </c>
      <c r="O11" s="17">
        <f>E11+F11</f>
        <v>338.5</v>
      </c>
      <c r="P11" s="17">
        <f>AVERAGE(O8:O11)</f>
        <v>269.25</v>
      </c>
      <c r="Q11" s="17">
        <f>-(I11+J11)+Q10</f>
        <v>-9957</v>
      </c>
    </row>
    <row r="12" ht="20.05" customHeight="1">
      <c r="B12" s="30">
        <v>2021</v>
      </c>
      <c r="C12" s="16">
        <f>5317+68</f>
        <v>5385</v>
      </c>
      <c r="D12" s="17"/>
      <c r="E12" s="17">
        <v>336</v>
      </c>
      <c r="F12" s="17">
        <v>-104</v>
      </c>
      <c r="G12" s="17">
        <v>14833</v>
      </c>
      <c r="H12" s="17">
        <v>-19879</v>
      </c>
      <c r="I12" s="17">
        <v>-1500</v>
      </c>
      <c r="J12" s="17"/>
      <c r="K12" s="17">
        <v>216</v>
      </c>
      <c r="L12" s="17">
        <f>N11</f>
        <v>34638</v>
      </c>
      <c r="M12" s="17">
        <f>G12+H12+K12</f>
        <v>-4830</v>
      </c>
      <c r="N12" s="17">
        <f>L12+M12</f>
        <v>29808</v>
      </c>
      <c r="O12" s="17">
        <f>E12+F12</f>
        <v>232</v>
      </c>
      <c r="P12" s="17">
        <f>AVERAGE(O9:O12)</f>
        <v>74.875</v>
      </c>
      <c r="Q12" s="17">
        <f>-(I12+J12)+Q11</f>
        <v>-8457</v>
      </c>
    </row>
    <row r="13" ht="20.05" customHeight="1">
      <c r="B13" s="28"/>
      <c r="C13" s="16">
        <f>10645+146-C12</f>
        <v>5406</v>
      </c>
      <c r="D13" s="17"/>
      <c r="E13" s="17">
        <f>944-E12</f>
        <v>608</v>
      </c>
      <c r="F13" s="17">
        <v>-104</v>
      </c>
      <c r="G13" s="17">
        <f>16510-G12</f>
        <v>1677</v>
      </c>
      <c r="H13" s="17">
        <f>1133-H12</f>
        <v>21012</v>
      </c>
      <c r="I13" s="17">
        <f>-3000-1300+3497-1500-I12</f>
        <v>-803</v>
      </c>
      <c r="J13" s="17"/>
      <c r="K13" s="17">
        <f>-2303-K12</f>
        <v>-2519</v>
      </c>
      <c r="L13" s="17">
        <f>N12</f>
        <v>29808</v>
      </c>
      <c r="M13" s="17">
        <f>G13+H13+K13</f>
        <v>20170</v>
      </c>
      <c r="N13" s="17">
        <f>L13+M13</f>
        <v>49978</v>
      </c>
      <c r="O13" s="17">
        <f>E13+F13</f>
        <v>504</v>
      </c>
      <c r="P13" s="17">
        <f>AVERAGE(O10:O13)</f>
        <v>217.25</v>
      </c>
      <c r="Q13" s="17">
        <f>-(I13+J13)+Q12</f>
        <v>-7654</v>
      </c>
    </row>
    <row r="14" ht="20.05" customHeight="1">
      <c r="B14" s="28"/>
      <c r="C14" s="16">
        <f>15670+240-C13-C12</f>
        <v>5119</v>
      </c>
      <c r="D14" s="17"/>
      <c r="E14" s="17">
        <f>2162-E13-E12</f>
        <v>1218</v>
      </c>
      <c r="F14" s="17">
        <v>-104</v>
      </c>
      <c r="G14" s="17">
        <f>5294-G13-G12</f>
        <v>-11216</v>
      </c>
      <c r="H14" s="17">
        <f>2888-H13-H12</f>
        <v>1755</v>
      </c>
      <c r="I14" s="17">
        <f>-3000-3455+4358-6100-I13-I12</f>
        <v>-5894</v>
      </c>
      <c r="J14" s="17"/>
      <c r="K14" s="17">
        <f>-8197-K13-K12</f>
        <v>-5894</v>
      </c>
      <c r="L14" s="17">
        <f>N13</f>
        <v>49978</v>
      </c>
      <c r="M14" s="17">
        <f>G14+H14+K14</f>
        <v>-15355</v>
      </c>
      <c r="N14" s="17">
        <f>L14+M14</f>
        <v>34623</v>
      </c>
      <c r="O14" s="17">
        <f>E14+F14</f>
        <v>1114</v>
      </c>
      <c r="P14" s="17">
        <f>AVERAGE(O11:O14)</f>
        <v>547.125</v>
      </c>
      <c r="Q14" s="17">
        <f>-(I14+J14)+Q13</f>
        <v>-1760</v>
      </c>
    </row>
    <row r="15" ht="20.05" customHeight="1">
      <c r="B15" s="28"/>
      <c r="C15" s="16">
        <f>22427+362-C14-C13-C12</f>
        <v>6879</v>
      </c>
      <c r="D15" s="17"/>
      <c r="E15" s="17">
        <f>2986-E14-E13-E12</f>
        <v>824</v>
      </c>
      <c r="F15" s="17">
        <v>-104</v>
      </c>
      <c r="G15" s="17">
        <f>9552-G14-G13-G12</f>
        <v>4258</v>
      </c>
      <c r="H15" s="17">
        <f>3835-H14-H13-H12</f>
        <v>947</v>
      </c>
      <c r="I15" s="17">
        <f>10-3455+6455-8205+1500-3000-I14-I13-I12</f>
        <v>1502</v>
      </c>
      <c r="J15" s="17"/>
      <c r="K15" s="17">
        <f>-6794-K14-K13-K12</f>
        <v>1403</v>
      </c>
      <c r="L15" s="17">
        <f>N14</f>
        <v>34623</v>
      </c>
      <c r="M15" s="17">
        <f>G15+H15+K15</f>
        <v>6608</v>
      </c>
      <c r="N15" s="17">
        <f>L15+M15</f>
        <v>41231</v>
      </c>
      <c r="O15" s="17">
        <f>E15+F15</f>
        <v>720</v>
      </c>
      <c r="P15" s="17">
        <f>AVERAGE(O12:O15)</f>
        <v>642.5</v>
      </c>
      <c r="Q15" s="17">
        <f>-(I15+J15)+Q14</f>
        <v>-3262</v>
      </c>
    </row>
    <row r="16" ht="20.05" customHeight="1">
      <c r="B16" s="30">
        <v>2022</v>
      </c>
      <c r="C16" s="16"/>
      <c r="D16" s="17">
        <f>'Model'!C5</f>
        <v>6535.05</v>
      </c>
      <c r="E16" s="17"/>
      <c r="F16" s="15"/>
      <c r="G16" s="17"/>
      <c r="H16" s="17"/>
      <c r="I16" s="17"/>
      <c r="J16" s="17"/>
      <c r="K16" s="17"/>
      <c r="L16" s="17"/>
      <c r="M16" s="17"/>
      <c r="N16" s="17"/>
      <c r="O16" s="17"/>
      <c r="P16" s="17">
        <f>SUM('Model'!F8:F9)</f>
        <v>1026.748091463720</v>
      </c>
      <c r="Q16" s="17">
        <f>'Model'!F30</f>
        <v>-2151.492090486430</v>
      </c>
    </row>
    <row r="17" ht="20.05" customHeight="1">
      <c r="B17" s="28"/>
      <c r="C17" s="16"/>
      <c r="D17" s="17">
        <f>'Model'!D5</f>
        <v>6535.05</v>
      </c>
      <c r="E17" s="17"/>
      <c r="F17" s="15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ht="20.05" customHeight="1">
      <c r="B18" s="28"/>
      <c r="C18" s="16"/>
      <c r="D18" s="17">
        <f>'Model'!E5</f>
        <v>6665.751</v>
      </c>
      <c r="E18" s="17"/>
      <c r="F18" s="15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ht="20.05" customHeight="1">
      <c r="B19" s="28"/>
      <c r="C19" s="16"/>
      <c r="D19" s="17">
        <f>'Model'!F5</f>
        <v>6999.03855</v>
      </c>
      <c r="E19" s="17"/>
      <c r="F19" s="15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</sheetData>
  <mergeCells count="1">
    <mergeCell ref="B2:Q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1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17188" style="33" customWidth="1"/>
    <col min="2" max="5" width="9.61719" style="33" customWidth="1"/>
    <col min="6" max="11" width="10.5938" style="33" customWidth="1"/>
    <col min="12" max="16384" width="16.3516" style="33" customWidth="1"/>
  </cols>
  <sheetData>
    <row r="1" ht="16.3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44.25" customHeight="1">
      <c r="B3" t="s" s="5">
        <v>1</v>
      </c>
      <c r="C3" t="s" s="5">
        <v>55</v>
      </c>
      <c r="D3" t="s" s="5">
        <v>56</v>
      </c>
      <c r="E3" t="s" s="5">
        <v>57</v>
      </c>
      <c r="F3" t="s" s="5">
        <v>58</v>
      </c>
      <c r="G3" t="s" s="5">
        <v>24</v>
      </c>
      <c r="H3" t="s" s="5">
        <v>25</v>
      </c>
      <c r="I3" t="s" s="5">
        <v>59</v>
      </c>
      <c r="J3" t="s" s="5">
        <v>60</v>
      </c>
      <c r="K3" t="s" s="5">
        <v>61</v>
      </c>
    </row>
    <row r="4" ht="20.9" customHeight="1">
      <c r="B4" s="23">
        <v>2019</v>
      </c>
      <c r="C4" s="24">
        <f>' Cashflow'!N4</f>
        <v>25910</v>
      </c>
      <c r="D4" s="25">
        <v>301346</v>
      </c>
      <c r="E4" s="25">
        <f>D4-C4</f>
        <v>275436</v>
      </c>
      <c r="F4" s="25"/>
      <c r="G4" s="25">
        <v>258468</v>
      </c>
      <c r="H4" s="25">
        <f>D4-G4</f>
        <v>42878</v>
      </c>
      <c r="I4" s="25">
        <f>G4+H4-C4-E4</f>
        <v>0</v>
      </c>
      <c r="J4" s="34"/>
      <c r="K4" s="34"/>
    </row>
    <row r="5" ht="20.9" customHeight="1">
      <c r="B5" s="28"/>
      <c r="C5" s="16">
        <f>' Cashflow'!N5</f>
        <v>31953</v>
      </c>
      <c r="D5" s="17">
        <v>312475</v>
      </c>
      <c r="E5" s="17">
        <f>D5-C5</f>
        <v>280522</v>
      </c>
      <c r="F5" s="17"/>
      <c r="G5" s="17">
        <v>268026</v>
      </c>
      <c r="H5" s="17">
        <f>D5-G5</f>
        <v>44449</v>
      </c>
      <c r="I5" s="17">
        <f>G5+H5-C5-E5</f>
        <v>0</v>
      </c>
      <c r="J5" s="35">
        <f>E5/E4-1</f>
        <v>0.018465269608911</v>
      </c>
      <c r="K5" s="35">
        <f>G5/G4-1</f>
        <v>0.0369794326570407</v>
      </c>
    </row>
    <row r="6" ht="20.9" customHeight="1">
      <c r="B6" s="28"/>
      <c r="C6" s="16">
        <f>' Cashflow'!N6</f>
        <v>25094</v>
      </c>
      <c r="D6" s="17">
        <v>316211</v>
      </c>
      <c r="E6" s="17">
        <f>D6-C6</f>
        <v>291117</v>
      </c>
      <c r="F6" s="17"/>
      <c r="G6" s="17">
        <v>271590</v>
      </c>
      <c r="H6" s="17">
        <f>D6-G6</f>
        <v>44621</v>
      </c>
      <c r="I6" s="17">
        <f>G6+H6-C6-E6</f>
        <v>0</v>
      </c>
      <c r="J6" s="35">
        <f>E6/E5-1</f>
        <v>0.0377688737425229</v>
      </c>
      <c r="K6" s="35">
        <f>G6/G5-1</f>
        <v>0.0132972174341295</v>
      </c>
    </row>
    <row r="7" ht="20.9" customHeight="1">
      <c r="B7" s="28"/>
      <c r="C7" s="16">
        <f>' Cashflow'!N7</f>
        <v>31250</v>
      </c>
      <c r="D7" s="17">
        <v>311777</v>
      </c>
      <c r="E7" s="17">
        <f>D7-C7</f>
        <v>280527</v>
      </c>
      <c r="F7" s="17">
        <v>2707</v>
      </c>
      <c r="G7" s="17">
        <v>269452</v>
      </c>
      <c r="H7" s="17">
        <f>D7-G7</f>
        <v>42325</v>
      </c>
      <c r="I7" s="17">
        <f>G7+H7-C7-E7</f>
        <v>0</v>
      </c>
      <c r="J7" s="35">
        <f>E7/E6-1</f>
        <v>-0.0363771267222457</v>
      </c>
      <c r="K7" s="35">
        <f>G7/G6-1</f>
        <v>-0.00787216024154056</v>
      </c>
    </row>
    <row r="8" ht="20.9" customHeight="1">
      <c r="B8" s="30">
        <v>2020</v>
      </c>
      <c r="C8" s="16">
        <f>' Cashflow'!N8</f>
        <v>31572</v>
      </c>
      <c r="D8" s="17">
        <v>308187</v>
      </c>
      <c r="E8" s="17">
        <f>D8-C8</f>
        <v>276615</v>
      </c>
      <c r="F8" s="17"/>
      <c r="G8" s="17">
        <v>274263</v>
      </c>
      <c r="H8" s="17">
        <f>D8-G8</f>
        <v>33924</v>
      </c>
      <c r="I8" s="17">
        <f>G8+H8-C8-E8</f>
        <v>0</v>
      </c>
      <c r="J8" s="35">
        <f>E8/E7-1</f>
        <v>-0.0139451817472115</v>
      </c>
      <c r="K8" s="35">
        <f>G8/G7-1</f>
        <v>0.0178547570624824</v>
      </c>
    </row>
    <row r="9" ht="20.9" customHeight="1">
      <c r="B9" s="28"/>
      <c r="C9" s="16">
        <f>' Cashflow'!N9</f>
        <v>27135</v>
      </c>
      <c r="D9" s="17">
        <v>314603</v>
      </c>
      <c r="E9" s="17">
        <f>D9-C9</f>
        <v>287468</v>
      </c>
      <c r="F9" s="17"/>
      <c r="G9" s="17">
        <v>280616</v>
      </c>
      <c r="H9" s="17">
        <f>D9-G9</f>
        <v>33987</v>
      </c>
      <c r="I9" s="17">
        <f>G9+H9-C9-E9</f>
        <v>0</v>
      </c>
      <c r="J9" s="35">
        <f>E9/E8-1</f>
        <v>0.0392350378685176</v>
      </c>
      <c r="K9" s="35">
        <f>G9/G8-1</f>
        <v>0.0231638974269223</v>
      </c>
    </row>
    <row r="10" ht="20.9" customHeight="1">
      <c r="B10" s="28"/>
      <c r="C10" s="16">
        <f>' Cashflow'!N10</f>
        <v>52717</v>
      </c>
      <c r="D10" s="17">
        <v>356974</v>
      </c>
      <c r="E10" s="17">
        <f>D10-C10</f>
        <v>304257</v>
      </c>
      <c r="F10" s="17"/>
      <c r="G10" s="17">
        <v>320670</v>
      </c>
      <c r="H10" s="17">
        <f>D10-G10</f>
        <v>36304</v>
      </c>
      <c r="I10" s="17">
        <f>G10+H10-C10-E10</f>
        <v>0</v>
      </c>
      <c r="J10" s="35">
        <f>E10/E9-1</f>
        <v>0.058403022249433</v>
      </c>
      <c r="K10" s="35">
        <f>G10/G9-1</f>
        <v>0.142735980842147</v>
      </c>
    </row>
    <row r="11" ht="20.9" customHeight="1">
      <c r="B11" s="28"/>
      <c r="C11" s="16">
        <f>' Cashflow'!N11</f>
        <v>34638</v>
      </c>
      <c r="D11" s="17">
        <v>361208</v>
      </c>
      <c r="E11" s="17">
        <f>D11-C11</f>
        <v>326570</v>
      </c>
      <c r="F11" s="17">
        <v>3235</v>
      </c>
      <c r="G11" s="17">
        <v>321376</v>
      </c>
      <c r="H11" s="17">
        <f>D11-G11</f>
        <v>39832</v>
      </c>
      <c r="I11" s="17">
        <f>G11+H11-C11-E11</f>
        <v>0</v>
      </c>
      <c r="J11" s="35">
        <f>E11/E10-1</f>
        <v>0.0733360284233395</v>
      </c>
      <c r="K11" s="35">
        <f>G11/G10-1</f>
        <v>0.00220164031558924</v>
      </c>
    </row>
    <row r="12" ht="20.9" customHeight="1">
      <c r="B12" s="30">
        <v>2021</v>
      </c>
      <c r="C12" s="16">
        <f>' Cashflow'!N12</f>
        <v>29808</v>
      </c>
      <c r="D12" s="17">
        <v>375730</v>
      </c>
      <c r="E12" s="17">
        <f>D12-C12</f>
        <v>345922</v>
      </c>
      <c r="F12" s="17"/>
      <c r="G12" s="17">
        <v>335199</v>
      </c>
      <c r="H12" s="17">
        <f>D12-G12</f>
        <v>40531</v>
      </c>
      <c r="I12" s="17">
        <f>G12+H12-C12-E12</f>
        <v>0</v>
      </c>
      <c r="J12" s="35">
        <f>E12/E11-1</f>
        <v>0.0592583519612947</v>
      </c>
      <c r="K12" s="35">
        <f>G12/G11-1</f>
        <v>0.0430119237279697</v>
      </c>
    </row>
    <row r="13" ht="20.9" customHeight="1">
      <c r="B13" s="28"/>
      <c r="C13" s="16">
        <f>' Cashflow'!N13</f>
        <v>49978</v>
      </c>
      <c r="D13" s="17">
        <v>380514</v>
      </c>
      <c r="E13" s="17">
        <f>D13-C13</f>
        <v>330536</v>
      </c>
      <c r="F13" s="17"/>
      <c r="G13" s="17">
        <v>338945</v>
      </c>
      <c r="H13" s="17">
        <f>D13-G13</f>
        <v>41569</v>
      </c>
      <c r="I13" s="17">
        <f>G13+H13-C13-E13</f>
        <v>0</v>
      </c>
      <c r="J13" s="35">
        <f>E13/E12-1</f>
        <v>-0.0444782349778274</v>
      </c>
      <c r="K13" s="35">
        <f>G13/G12-1</f>
        <v>0.0111754510007488</v>
      </c>
    </row>
    <row r="14" ht="20.9" customHeight="1">
      <c r="B14" s="28"/>
      <c r="C14" s="16">
        <f>' Cashflow'!N14</f>
        <v>34623</v>
      </c>
      <c r="D14" s="17">
        <v>368056</v>
      </c>
      <c r="E14" s="17">
        <f>D14-C14</f>
        <v>333433</v>
      </c>
      <c r="F14" s="17"/>
      <c r="G14" s="17">
        <v>325513</v>
      </c>
      <c r="H14" s="17">
        <f>D14-G14</f>
        <v>42543</v>
      </c>
      <c r="I14" s="17">
        <f>G14+H14-C14-E14</f>
        <v>0</v>
      </c>
      <c r="J14" s="35">
        <f>E14/E13-1</f>
        <v>0.00876455212140281</v>
      </c>
      <c r="K14" s="35">
        <f>G14/G13-1</f>
        <v>-0.039628848338226</v>
      </c>
    </row>
    <row r="15" ht="20.9" customHeight="1">
      <c r="B15" s="28"/>
      <c r="C15" s="16">
        <f>' Cashflow'!N15</f>
        <v>41231</v>
      </c>
      <c r="D15" s="17">
        <v>371868</v>
      </c>
      <c r="E15" s="17">
        <f>D15-C15</f>
        <v>330637</v>
      </c>
      <c r="F15" s="17">
        <v>3732</v>
      </c>
      <c r="G15" s="17">
        <v>327694</v>
      </c>
      <c r="H15" s="17">
        <f>D15-G15</f>
        <v>44174</v>
      </c>
      <c r="I15" s="17">
        <f>G15+H15-C15-E15</f>
        <v>0</v>
      </c>
      <c r="J15" s="35">
        <f>E15/E14-1</f>
        <v>-0.008385492737671439</v>
      </c>
      <c r="K15" s="35">
        <f>G15/G14-1</f>
        <v>0.00670019323344997</v>
      </c>
    </row>
    <row r="16" ht="20.9" customHeight="1">
      <c r="B16" s="30">
        <v>2022</v>
      </c>
      <c r="C16" s="16"/>
      <c r="D16" s="17"/>
      <c r="E16" s="17"/>
      <c r="F16" s="17"/>
      <c r="G16" s="17"/>
      <c r="H16" s="17"/>
      <c r="I16" s="17"/>
      <c r="J16" s="35"/>
      <c r="K16" s="35"/>
    </row>
  </sheetData>
  <mergeCells count="1">
    <mergeCell ref="B2:K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1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20312" style="36" customWidth="1"/>
    <col min="2" max="2" width="6.86719" style="36" customWidth="1"/>
    <col min="3" max="5" width="8.32031" style="36" customWidth="1"/>
    <col min="6" max="16384" width="16.3516" style="36" customWidth="1"/>
  </cols>
  <sheetData>
    <row r="1" ht="7.3" customHeight="1"/>
    <row r="2" ht="27.65" customHeight="1">
      <c r="B2" t="s" s="2">
        <v>62</v>
      </c>
      <c r="C2" s="2"/>
      <c r="D2" s="2"/>
      <c r="E2" s="2"/>
    </row>
    <row r="3" ht="32.25" customHeight="1">
      <c r="B3" s="4"/>
      <c r="C3" t="s" s="37">
        <v>63</v>
      </c>
      <c r="D3" t="s" s="37">
        <v>36</v>
      </c>
      <c r="E3" t="s" s="37">
        <v>64</v>
      </c>
    </row>
    <row r="4" ht="20.25" customHeight="1">
      <c r="B4" s="23">
        <v>2019</v>
      </c>
      <c r="C4" s="24">
        <v>2440</v>
      </c>
      <c r="D4" s="38"/>
      <c r="E4" s="38"/>
    </row>
    <row r="5" ht="20.05" customHeight="1">
      <c r="B5" s="28"/>
      <c r="C5" s="16">
        <v>2460</v>
      </c>
      <c r="D5" s="39"/>
      <c r="E5" s="39"/>
    </row>
    <row r="6" ht="20.05" customHeight="1">
      <c r="B6" s="28"/>
      <c r="C6" s="16">
        <v>1960</v>
      </c>
      <c r="D6" s="39"/>
      <c r="E6" s="39"/>
    </row>
    <row r="7" ht="20.05" customHeight="1">
      <c r="B7" s="28"/>
      <c r="C7" s="16">
        <v>2120</v>
      </c>
      <c r="D7" s="39"/>
      <c r="E7" s="39"/>
    </row>
    <row r="8" ht="20.05" customHeight="1">
      <c r="B8" s="30">
        <v>2020</v>
      </c>
      <c r="C8" s="16">
        <v>840</v>
      </c>
      <c r="D8" s="39"/>
      <c r="E8" s="39"/>
    </row>
    <row r="9" ht="20.05" customHeight="1">
      <c r="B9" s="28"/>
      <c r="C9" s="16">
        <v>1245</v>
      </c>
      <c r="D9" s="31"/>
      <c r="E9" s="31"/>
    </row>
    <row r="10" ht="20.05" customHeight="1">
      <c r="B10" s="28"/>
      <c r="C10" s="16">
        <v>1200</v>
      </c>
      <c r="D10" s="31"/>
      <c r="E10" s="31"/>
    </row>
    <row r="11" ht="20.05" customHeight="1">
      <c r="B11" s="28"/>
      <c r="C11" s="16">
        <v>1725</v>
      </c>
      <c r="D11" s="31"/>
      <c r="E11" s="31"/>
    </row>
    <row r="12" ht="20.05" customHeight="1">
      <c r="B12" s="30">
        <v>2021</v>
      </c>
      <c r="C12" s="16">
        <v>1720</v>
      </c>
      <c r="D12" s="31"/>
      <c r="E12" s="31"/>
    </row>
    <row r="13" ht="20.05" customHeight="1">
      <c r="B13" s="28"/>
      <c r="C13" s="16">
        <v>1370</v>
      </c>
      <c r="D13" s="31"/>
      <c r="E13" s="31"/>
    </row>
    <row r="14" ht="20.05" customHeight="1">
      <c r="B14" s="28"/>
      <c r="C14" s="16">
        <v>1420</v>
      </c>
      <c r="D14" s="31"/>
      <c r="E14" s="31"/>
    </row>
    <row r="15" ht="20.05" customHeight="1">
      <c r="B15" s="28"/>
      <c r="C15" s="16">
        <v>1730</v>
      </c>
      <c r="D15" s="31"/>
      <c r="E15" s="31"/>
    </row>
    <row r="16" ht="20.05" customHeight="1">
      <c r="B16" s="30">
        <v>2022</v>
      </c>
      <c r="C16" s="16">
        <v>1775</v>
      </c>
      <c r="D16" s="17">
        <f>C16</f>
        <v>1775</v>
      </c>
      <c r="E16" s="31"/>
    </row>
    <row r="17" ht="20.05" customHeight="1">
      <c r="B17" s="28"/>
      <c r="C17" s="16"/>
      <c r="D17" s="13">
        <f>'Model'!F39</f>
        <v>2568.2843910326</v>
      </c>
      <c r="E17" s="31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26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8" width="11.5625" style="40" customWidth="1"/>
    <col min="9" max="16384" width="16.3516" style="40" customWidth="1"/>
  </cols>
  <sheetData>
    <row r="1" ht="27.65" customHeight="1">
      <c r="A1" t="s" s="2">
        <v>54</v>
      </c>
      <c r="B1" s="2"/>
      <c r="C1" s="2"/>
      <c r="D1" s="2"/>
      <c r="E1" s="2"/>
      <c r="F1" s="2"/>
      <c r="G1" s="2"/>
      <c r="H1" s="2"/>
    </row>
    <row r="2" ht="20.25" customHeight="1">
      <c r="A2" s="41"/>
      <c r="B2" t="s" s="5">
        <v>24</v>
      </c>
      <c r="C2" t="s" s="5">
        <v>25</v>
      </c>
      <c r="D2" t="s" s="5">
        <v>65</v>
      </c>
      <c r="E2" t="s" s="5">
        <v>24</v>
      </c>
      <c r="F2" t="s" s="5">
        <v>25</v>
      </c>
      <c r="G2" t="s" s="5">
        <v>66</v>
      </c>
      <c r="H2" s="4"/>
    </row>
    <row r="3" ht="20.25" customHeight="1">
      <c r="A3" s="23">
        <v>1998</v>
      </c>
      <c r="B3" s="24"/>
      <c r="C3" s="25"/>
      <c r="D3" s="25">
        <f>B3+C3</f>
        <v>0</v>
      </c>
      <c r="E3" s="25">
        <f>B3</f>
        <v>0</v>
      </c>
      <c r="F3" s="25">
        <f>C3</f>
        <v>0</v>
      </c>
      <c r="G3" s="25">
        <f>D3</f>
        <v>0</v>
      </c>
      <c r="H3" s="42"/>
    </row>
    <row r="4" ht="20.05" customHeight="1">
      <c r="A4" s="30">
        <v>1999</v>
      </c>
      <c r="B4" s="16"/>
      <c r="C4" s="17"/>
      <c r="D4" s="17">
        <f>B4+C4</f>
        <v>0</v>
      </c>
      <c r="E4" s="17">
        <f>B4+E3</f>
        <v>0</v>
      </c>
      <c r="F4" s="17">
        <f>C4+F3</f>
        <v>0</v>
      </c>
      <c r="G4" s="17">
        <f>D4+G3</f>
        <v>0</v>
      </c>
      <c r="H4" s="31"/>
    </row>
    <row r="5" ht="20.05" customHeight="1">
      <c r="A5" s="30">
        <v>2000</v>
      </c>
      <c r="B5" s="16"/>
      <c r="C5" s="17"/>
      <c r="D5" s="17">
        <f>B5+C5</f>
        <v>0</v>
      </c>
      <c r="E5" s="17">
        <f>B5+E4</f>
        <v>0</v>
      </c>
      <c r="F5" s="17">
        <f>C5+F4</f>
        <v>0</v>
      </c>
      <c r="G5" s="17">
        <f>D5+G4</f>
        <v>0</v>
      </c>
      <c r="H5" s="31"/>
    </row>
    <row r="6" ht="20.05" customHeight="1">
      <c r="A6" s="30">
        <v>2001</v>
      </c>
      <c r="B6" s="16"/>
      <c r="C6" s="17"/>
      <c r="D6" s="17">
        <f>B6+C6</f>
        <v>0</v>
      </c>
      <c r="E6" s="17">
        <f>B6+E5</f>
        <v>0</v>
      </c>
      <c r="F6" s="17">
        <f>C6+F5</f>
        <v>0</v>
      </c>
      <c r="G6" s="17">
        <f>D6+G5</f>
        <v>0</v>
      </c>
      <c r="H6" s="31"/>
    </row>
    <row r="7" ht="20.05" customHeight="1">
      <c r="A7" s="30">
        <v>2002</v>
      </c>
      <c r="B7" s="16"/>
      <c r="C7" s="17"/>
      <c r="D7" s="17">
        <f>B7+C7</f>
        <v>0</v>
      </c>
      <c r="E7" s="17">
        <f>B7+E6</f>
        <v>0</v>
      </c>
      <c r="F7" s="17">
        <f>C7+F6</f>
        <v>0</v>
      </c>
      <c r="G7" s="17">
        <f>D7+G6</f>
        <v>0</v>
      </c>
      <c r="H7" s="31"/>
    </row>
    <row r="8" ht="20.05" customHeight="1">
      <c r="A8" s="30">
        <v>2003</v>
      </c>
      <c r="B8" s="16"/>
      <c r="C8" s="17"/>
      <c r="D8" s="17">
        <f>B8+C8</f>
        <v>0</v>
      </c>
      <c r="E8" s="17">
        <f>B8+E7</f>
        <v>0</v>
      </c>
      <c r="F8" s="17">
        <f>C8+F7</f>
        <v>0</v>
      </c>
      <c r="G8" s="17">
        <f>D8+G7</f>
        <v>0</v>
      </c>
      <c r="H8" s="31"/>
    </row>
    <row r="9" ht="20.05" customHeight="1">
      <c r="A9" s="30">
        <v>2004</v>
      </c>
      <c r="B9" s="16"/>
      <c r="C9" s="17"/>
      <c r="D9" s="17">
        <f>B9+C9</f>
        <v>0</v>
      </c>
      <c r="E9" s="17">
        <f>B9+E8</f>
        <v>0</v>
      </c>
      <c r="F9" s="17">
        <f>C9+F8</f>
        <v>0</v>
      </c>
      <c r="G9" s="17">
        <f>D9+G8</f>
        <v>0</v>
      </c>
      <c r="H9" s="31"/>
    </row>
    <row r="10" ht="20.05" customHeight="1">
      <c r="A10" s="30">
        <v>2005</v>
      </c>
      <c r="B10" s="16"/>
      <c r="C10" s="17"/>
      <c r="D10" s="17">
        <f>B10+C10</f>
        <v>0</v>
      </c>
      <c r="E10" s="17">
        <f>B10+E9</f>
        <v>0</v>
      </c>
      <c r="F10" s="17">
        <f>C10+F9</f>
        <v>0</v>
      </c>
      <c r="G10" s="17">
        <f>D10+G9</f>
        <v>0</v>
      </c>
      <c r="H10" s="31"/>
    </row>
    <row r="11" ht="20.05" customHeight="1">
      <c r="A11" s="30">
        <v>2006</v>
      </c>
      <c r="B11" s="16"/>
      <c r="C11" s="17"/>
      <c r="D11" s="17">
        <f>B11+C11</f>
        <v>0</v>
      </c>
      <c r="E11" s="17">
        <f>B11+E10</f>
        <v>0</v>
      </c>
      <c r="F11" s="17">
        <f>C11+F10</f>
        <v>0</v>
      </c>
      <c r="G11" s="17">
        <f>D11+G10</f>
        <v>0</v>
      </c>
      <c r="H11" s="20">
        <f>H10+4</f>
        <v>4</v>
      </c>
    </row>
    <row r="12" ht="20.05" customHeight="1">
      <c r="A12" s="30">
        <v>2007</v>
      </c>
      <c r="B12" s="16">
        <v>254</v>
      </c>
      <c r="C12" s="17"/>
      <c r="D12" s="17">
        <f>B12+C12</f>
        <v>254</v>
      </c>
      <c r="E12" s="17">
        <f>B12+E11</f>
        <v>254</v>
      </c>
      <c r="F12" s="17">
        <f>C12+F11</f>
        <v>0</v>
      </c>
      <c r="G12" s="17">
        <f>D12+G11</f>
        <v>254</v>
      </c>
      <c r="H12" s="20">
        <f>H11+4</f>
        <v>8</v>
      </c>
    </row>
    <row r="13" ht="20.05" customHeight="1">
      <c r="A13" s="30">
        <v>2008</v>
      </c>
      <c r="B13" s="16">
        <f>542-C13</f>
        <v>646</v>
      </c>
      <c r="C13" s="17">
        <v>-104</v>
      </c>
      <c r="D13" s="17">
        <f>B13+C13</f>
        <v>542</v>
      </c>
      <c r="E13" s="17">
        <f>B13+E12</f>
        <v>900</v>
      </c>
      <c r="F13" s="17">
        <f>C13+F12</f>
        <v>-104</v>
      </c>
      <c r="G13" s="17">
        <f>D13+G12</f>
        <v>796</v>
      </c>
      <c r="H13" s="20">
        <f>H12+4</f>
        <v>12</v>
      </c>
    </row>
    <row r="14" ht="20.05" customHeight="1">
      <c r="A14" s="30">
        <v>2009</v>
      </c>
      <c r="B14" s="16">
        <v>-121</v>
      </c>
      <c r="C14" s="17"/>
      <c r="D14" s="17">
        <f>B14+C14</f>
        <v>-121</v>
      </c>
      <c r="E14" s="17">
        <f>B14+E13</f>
        <v>779</v>
      </c>
      <c r="F14" s="17">
        <f>C14+F13</f>
        <v>-104</v>
      </c>
      <c r="G14" s="17">
        <f>D14+G13</f>
        <v>675</v>
      </c>
      <c r="H14" s="20">
        <f>H13+4</f>
        <v>16</v>
      </c>
    </row>
    <row r="15" ht="20.05" customHeight="1">
      <c r="A15" s="30">
        <v>2010</v>
      </c>
      <c r="B15" s="16">
        <v>243</v>
      </c>
      <c r="C15" s="17"/>
      <c r="D15" s="17">
        <f>B15+C15</f>
        <v>243</v>
      </c>
      <c r="E15" s="17">
        <f>B15+E14</f>
        <v>1022</v>
      </c>
      <c r="F15" s="17">
        <f>C15+F14</f>
        <v>-104</v>
      </c>
      <c r="G15" s="17">
        <f>D15+G14</f>
        <v>918</v>
      </c>
      <c r="H15" s="20">
        <f>H14+4</f>
        <v>20</v>
      </c>
    </row>
    <row r="16" ht="20.05" customHeight="1">
      <c r="A16" s="30">
        <v>2011</v>
      </c>
      <c r="B16" s="16">
        <f>-399-C16</f>
        <v>101</v>
      </c>
      <c r="C16" s="17">
        <v>-500</v>
      </c>
      <c r="D16" s="17">
        <f>B16+C16</f>
        <v>-399</v>
      </c>
      <c r="E16" s="17">
        <f>B16+E15</f>
        <v>1123</v>
      </c>
      <c r="F16" s="17">
        <f>C16+F15</f>
        <v>-604</v>
      </c>
      <c r="G16" s="17">
        <f>D16+G15</f>
        <v>519</v>
      </c>
      <c r="H16" s="20">
        <f>H15+4</f>
        <v>24</v>
      </c>
    </row>
    <row r="17" ht="20.05" customHeight="1">
      <c r="A17" s="30">
        <v>2012</v>
      </c>
      <c r="B17" s="16">
        <v>-152</v>
      </c>
      <c r="C17" s="17"/>
      <c r="D17" s="17">
        <f>B17+C17</f>
        <v>-152</v>
      </c>
      <c r="E17" s="17">
        <f>B17+E16</f>
        <v>971</v>
      </c>
      <c r="F17" s="17">
        <f>C17+F16</f>
        <v>-604</v>
      </c>
      <c r="G17" s="17">
        <f>D17+G16</f>
        <v>367</v>
      </c>
      <c r="H17" s="20">
        <f>H16+4</f>
        <v>28</v>
      </c>
    </row>
    <row r="18" ht="20.05" customHeight="1">
      <c r="A18" s="30">
        <v>2013</v>
      </c>
      <c r="B18" s="16">
        <f>-1764-C18</f>
        <v>-1071</v>
      </c>
      <c r="C18" s="17">
        <v>-693</v>
      </c>
      <c r="D18" s="17">
        <f>B18+C18</f>
        <v>-1764</v>
      </c>
      <c r="E18" s="17">
        <f>B18+E17</f>
        <v>-100</v>
      </c>
      <c r="F18" s="17">
        <f>C18+F17</f>
        <v>-1297</v>
      </c>
      <c r="G18" s="17">
        <f>D18+G17</f>
        <v>-1397</v>
      </c>
      <c r="H18" s="20">
        <f>H17+4</f>
        <v>32</v>
      </c>
    </row>
    <row r="19" ht="20.05" customHeight="1">
      <c r="A19" s="30">
        <v>2014</v>
      </c>
      <c r="B19" s="16">
        <v>-28</v>
      </c>
      <c r="C19" s="17"/>
      <c r="D19" s="17">
        <f>B19+C19</f>
        <v>-28</v>
      </c>
      <c r="E19" s="17">
        <f>B19+E18</f>
        <v>-128</v>
      </c>
      <c r="F19" s="17">
        <f>C19+F18</f>
        <v>-1297</v>
      </c>
      <c r="G19" s="17">
        <f>D19+G18</f>
        <v>-1425</v>
      </c>
      <c r="H19" s="20">
        <f>H18+4</f>
        <v>36</v>
      </c>
    </row>
    <row r="20" ht="20.05" customHeight="1">
      <c r="A20" s="30">
        <v>2015</v>
      </c>
      <c r="B20" s="16">
        <f>1016-C20</f>
        <v>1116</v>
      </c>
      <c r="C20" s="17">
        <v>-100</v>
      </c>
      <c r="D20" s="17">
        <f>B20+C20</f>
        <v>1016</v>
      </c>
      <c r="E20" s="17">
        <f>B20+E19</f>
        <v>988</v>
      </c>
      <c r="F20" s="17">
        <f>C20+F19</f>
        <v>-1397</v>
      </c>
      <c r="G20" s="17">
        <f>D20+G19</f>
        <v>-409</v>
      </c>
      <c r="H20" s="20">
        <f>H19+4</f>
        <v>40</v>
      </c>
    </row>
    <row r="21" ht="20.05" customHeight="1">
      <c r="A21" s="30">
        <v>2016</v>
      </c>
      <c r="B21" s="16">
        <f>-1196-C21</f>
        <v>-670</v>
      </c>
      <c r="C21" s="17">
        <v>-526</v>
      </c>
      <c r="D21" s="17">
        <f>B21+C21</f>
        <v>-1196</v>
      </c>
      <c r="E21" s="17">
        <f>B21+E20</f>
        <v>318</v>
      </c>
      <c r="F21" s="17">
        <f>C21+F20</f>
        <v>-1923</v>
      </c>
      <c r="G21" s="17">
        <f>D21+G20</f>
        <v>-1605</v>
      </c>
      <c r="H21" s="20">
        <f>H20+4</f>
        <v>44</v>
      </c>
    </row>
    <row r="22" ht="20.05" customHeight="1">
      <c r="A22" s="30">
        <v>2017</v>
      </c>
      <c r="B22" s="16">
        <f>-982-C22</f>
        <v>-403</v>
      </c>
      <c r="C22" s="20">
        <v>-579</v>
      </c>
      <c r="D22" s="17">
        <f>B22+C22</f>
        <v>-982</v>
      </c>
      <c r="E22" s="17">
        <f>B22+E21</f>
        <v>-85</v>
      </c>
      <c r="F22" s="17">
        <f>C22+F21</f>
        <v>-2502</v>
      </c>
      <c r="G22" s="17">
        <f>D22+G21</f>
        <v>-2587</v>
      </c>
      <c r="H22" s="20">
        <f>H21+4</f>
        <v>48</v>
      </c>
    </row>
    <row r="23" ht="20.05" customHeight="1">
      <c r="A23" s="30">
        <v>2018</v>
      </c>
      <c r="B23" s="16">
        <v>-144</v>
      </c>
      <c r="C23" s="17">
        <v>-650</v>
      </c>
      <c r="D23" s="17">
        <f>B23+C23</f>
        <v>-794</v>
      </c>
      <c r="E23" s="17">
        <f>B23+E22</f>
        <v>-229</v>
      </c>
      <c r="F23" s="17">
        <f>C23+F22</f>
        <v>-3152</v>
      </c>
      <c r="G23" s="17">
        <f>D23+G22</f>
        <v>-3381</v>
      </c>
      <c r="H23" s="20">
        <f>H22+4</f>
        <v>52</v>
      </c>
    </row>
    <row r="24" ht="20.05" customHeight="1">
      <c r="A24" s="30">
        <v>2019</v>
      </c>
      <c r="B24" s="16"/>
      <c r="C24" s="17">
        <v>-800</v>
      </c>
      <c r="D24" s="17">
        <f>B24+C24</f>
        <v>-800</v>
      </c>
      <c r="E24" s="17">
        <f>B24+E23</f>
        <v>-229</v>
      </c>
      <c r="F24" s="17">
        <f>C24+F23</f>
        <v>-3952</v>
      </c>
      <c r="G24" s="17">
        <f>D24+G23</f>
        <v>-4181</v>
      </c>
      <c r="H24" s="20">
        <f>H23+4</f>
        <v>56</v>
      </c>
    </row>
    <row r="25" ht="20.05" customHeight="1">
      <c r="A25" s="30">
        <v>2020</v>
      </c>
      <c r="B25" s="16">
        <f>-670-C25</f>
        <v>331</v>
      </c>
      <c r="C25" s="17">
        <v>-1001</v>
      </c>
      <c r="D25" s="17">
        <f>B25+C25</f>
        <v>-670</v>
      </c>
      <c r="E25" s="17">
        <f>B25+E24</f>
        <v>102</v>
      </c>
      <c r="F25" s="17">
        <f>C25+F24</f>
        <v>-4953</v>
      </c>
      <c r="G25" s="17">
        <f>D25+G24</f>
        <v>-4851</v>
      </c>
      <c r="H25" s="20">
        <f>H24+4</f>
        <v>60</v>
      </c>
    </row>
    <row r="26" ht="20.05" customHeight="1">
      <c r="A26" s="30">
        <v>2021</v>
      </c>
      <c r="B26" s="16">
        <f>SUM(' Cashflow'!I12:I15)</f>
        <v>-6695</v>
      </c>
      <c r="C26" s="17">
        <f>SUM(' Cashflow'!J12:J15)</f>
        <v>0</v>
      </c>
      <c r="D26" s="17">
        <f>B26+C26</f>
        <v>-6695</v>
      </c>
      <c r="E26" s="17">
        <f>B26+E25</f>
        <v>-6593</v>
      </c>
      <c r="F26" s="17">
        <f>C26+F25</f>
        <v>-4953</v>
      </c>
      <c r="G26" s="17">
        <f>D26+G25</f>
        <v>-11546</v>
      </c>
      <c r="H26" s="20">
        <f>H25+4</f>
        <v>64</v>
      </c>
    </row>
  </sheetData>
  <mergeCells count="1">
    <mergeCell ref="A1:H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