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<sst xmlns="http://schemas.openxmlformats.org/spreadsheetml/2006/main" uniqueCount="65">
  <si>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</si>
  <si>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</si>
  <si>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</si>
  <si>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</si>
  <si>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</si>
  <si>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</si>
  <si>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</si>
  <si>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</si>
  <si>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</si>
  <si>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</si>
  <si>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 xml:space="preserve">Finance </t>
  </si>
  <si>
    <t xml:space="preserve">Payout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</si>
  <si>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</si>
  <si>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</si>
  <si>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</si>
  <si>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</si>
  <si>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</si>
  <si>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</si>
  <si>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</si>
  <si>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</si>
  <si>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>Provision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</si>
  <si>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</si>
  <si>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</si>
  <si>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</si>
  <si>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</si>
  <si>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</si>
  <si>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</si>
  <si>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</si>
  <si>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</si>
  <si>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</si>
  <si>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</si>
  <si>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</si>
  <si>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</si>
  <si>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</si>
  <si>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</si>
  <si>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</si>
  <si>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</si>
  <si>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</si>
  <si>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</si>
  <si>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</si>
  <si>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</si>
  <si>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</si>
  <si>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</si>
  <si>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Provisions </t>
  </si>
  <si>
    <t>Sales growth</t>
  </si>
  <si>
    <t xml:space="preserve">Sales to assets </t>
  </si>
  <si>
    <t xml:space="preserve">Operating before wc </t>
  </si>
  <si>
    <t xml:space="preserve">Investing </t>
  </si>
  <si>
    <t>Lease</t>
  </si>
  <si>
    <t>Finance</t>
  </si>
  <si>
    <t>Free cashflow</t>
  </si>
  <si>
    <t xml:space="preserve">  Cash</t>
  </si>
  <si>
    <t>Assets</t>
  </si>
  <si>
    <t>Other asset</t>
  </si>
  <si>
    <t xml:space="preserve">Depreciation &amp; Provision </t>
  </si>
  <si>
    <t xml:space="preserve">Non cash asset growth </t>
  </si>
  <si>
    <t>Liabilities growth</t>
  </si>
  <si>
    <t>Net cash</t>
  </si>
  <si>
    <t xml:space="preserve">Leverage </t>
  </si>
  <si>
    <t>Share price monthly</t>
  </si>
  <si>
    <t>BBNI</t>
  </si>
  <si>
    <t xml:space="preserve">Target </t>
  </si>
  <si>
    <t>Capital</t>
  </si>
  <si>
    <t xml:space="preserve">Lease </t>
  </si>
  <si>
    <t>Total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</si>
</sst>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%_);[Red]\(0%\)"/>
    <numFmt numFmtId="60" formatCode="#,##0%"/>
    <numFmt numFmtId="61" formatCode="#,##0.0"/>
    <numFmt numFmtId="62" formatCode="#,##0.0%"/>
    <numFmt numFmtId="63" formatCode="0.0%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4"/>
      <color indexed="14"/>
      <name val="Helvetica Neue"/>
    </font>
    <font>
      <sz val="10"/>
      <color indexed="8"/>
      <name val="Arial"/>
    </font>
    <font>
      <sz val="10"/>
      <color indexed="16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0" fontId="3" borderId="7" applyNumberFormat="0" applyFont="1" applyFill="0" applyBorder="1" applyAlignment="1" applyProtection="0">
      <alignment horizontal="left" vertical="top" wrapText="1" readingOrder="1"/>
    </xf>
    <xf numFmtId="0" fontId="0" applyNumberFormat="1" applyFont="1" applyFill="0" applyBorder="0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right" vertical="top" wrapText="1"/>
    </xf>
    <xf numFmtId="49" fontId="2" fillId="2" borderId="8" applyNumberFormat="1" applyFont="1" applyFill="1" applyBorder="1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3" fontId="4" borderId="9" applyNumberFormat="1" applyFont="1" applyFill="0" applyBorder="1" applyAlignment="1" applyProtection="0">
      <alignment horizontal="right" vertical="center" wrapText="1" readingOrder="1"/>
    </xf>
    <xf numFmtId="0" fontId="5" borderId="10" applyNumberFormat="0" applyFont="1" applyFill="0" applyBorder="1" applyAlignment="1" applyProtection="0">
      <alignment vertical="center" wrapText="1" readingOrder="1"/>
    </xf>
    <xf numFmtId="3" fontId="4" borderId="11" applyNumberFormat="1" applyFont="1" applyFill="0" applyBorder="1" applyAlignment="1" applyProtection="0">
      <alignment horizontal="right" vertical="center" wrapText="1" readingOrder="1"/>
    </xf>
    <xf numFmtId="3" fontId="4" borderId="6" applyNumberFormat="1" applyFont="1" applyFill="0" applyBorder="1" applyAlignment="1" applyProtection="0">
      <alignment horizontal="right" vertical="center" wrapText="1" readingOrder="1"/>
    </xf>
    <xf numFmtId="0" fontId="0" borderId="1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282e32"/>
      <rgbColor rgb="ffbfbfbf"/>
      <rgbColor rgb="ff323232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2822"/>
          <c:y val="0.0446026"/>
          <c:w val="0.7977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'Capital '!$F$3:$F$24</c:f>
              <c:numCache>
                <c:ptCount val="22"/>
                <c:pt idx="0">
                  <c:v>-1045.000000</c:v>
                </c:pt>
                <c:pt idx="1">
                  <c:v>-2468.000000</c:v>
                </c:pt>
                <c:pt idx="2">
                  <c:v>-4235.000000</c:v>
                </c:pt>
                <c:pt idx="3">
                  <c:v>-7798.000000</c:v>
                </c:pt>
                <c:pt idx="4">
                  <c:v>-8556.000000</c:v>
                </c:pt>
                <c:pt idx="5">
                  <c:v>-8140.000000</c:v>
                </c:pt>
                <c:pt idx="6">
                  <c:v>-9508.000000</c:v>
                </c:pt>
                <c:pt idx="7">
                  <c:v>-8779.000000</c:v>
                </c:pt>
                <c:pt idx="8">
                  <c:v>-8375.000000</c:v>
                </c:pt>
                <c:pt idx="9">
                  <c:v>-11431.000000</c:v>
                </c:pt>
                <c:pt idx="10">
                  <c:v>-11361.000000</c:v>
                </c:pt>
                <c:pt idx="11">
                  <c:v>-9271.000000</c:v>
                </c:pt>
                <c:pt idx="12">
                  <c:v>-4809.000000</c:v>
                </c:pt>
                <c:pt idx="13">
                  <c:v>7290.000000</c:v>
                </c:pt>
                <c:pt idx="14">
                  <c:v>5552.000000</c:v>
                </c:pt>
                <c:pt idx="15">
                  <c:v>18248.000000</c:v>
                </c:pt>
                <c:pt idx="16">
                  <c:v>29152.000000</c:v>
                </c:pt>
                <c:pt idx="17">
                  <c:v>36315.000000</c:v>
                </c:pt>
                <c:pt idx="18">
                  <c:v>61690.000000</c:v>
                </c:pt>
                <c:pt idx="19">
                  <c:v>46953.000000</c:v>
                </c:pt>
                <c:pt idx="20">
                  <c:v>33660.000000</c:v>
                </c:pt>
                <c:pt idx="21">
                  <c:v>36680.800000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'Capital '!$G$3:$G$24</c:f>
              <c:numCache>
                <c:ptCount val="22"/>
                <c:pt idx="0">
                  <c:v>61788.000000</c:v>
                </c:pt>
                <c:pt idx="1">
                  <c:v>61788.000000</c:v>
                </c:pt>
                <c:pt idx="2">
                  <c:v>60910.000000</c:v>
                </c:pt>
                <c:pt idx="3">
                  <c:v>59656.000000</c:v>
                </c:pt>
                <c:pt idx="4">
                  <c:v>59341.000000</c:v>
                </c:pt>
                <c:pt idx="5">
                  <c:v>57773.000000</c:v>
                </c:pt>
                <c:pt idx="6">
                  <c:v>57023.000000</c:v>
                </c:pt>
                <c:pt idx="7">
                  <c:v>59975.000000</c:v>
                </c:pt>
                <c:pt idx="8">
                  <c:v>59490.000000</c:v>
                </c:pt>
                <c:pt idx="9">
                  <c:v>59124.000000</c:v>
                </c:pt>
                <c:pt idx="10">
                  <c:v>68372.000000</c:v>
                </c:pt>
                <c:pt idx="11">
                  <c:v>66977.000000</c:v>
                </c:pt>
                <c:pt idx="12">
                  <c:v>65582.000000</c:v>
                </c:pt>
                <c:pt idx="13">
                  <c:v>63468.000000</c:v>
                </c:pt>
                <c:pt idx="14">
                  <c:v>60752.000000</c:v>
                </c:pt>
                <c:pt idx="15">
                  <c:v>57306.000000</c:v>
                </c:pt>
                <c:pt idx="16">
                  <c:v>55039.000000</c:v>
                </c:pt>
                <c:pt idx="17">
                  <c:v>51070.000000</c:v>
                </c:pt>
                <c:pt idx="18">
                  <c:v>46304.000000</c:v>
                </c:pt>
                <c:pt idx="19">
                  <c:v>42550.000000</c:v>
                </c:pt>
                <c:pt idx="20">
                  <c:v>38704.000000</c:v>
                </c:pt>
                <c:pt idx="21">
                  <c:v>37755.900000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'Capital '!$H$3:$H$24</c:f>
              <c:numCache>
                <c:ptCount val="22"/>
                <c:pt idx="0">
                  <c:v>60743.000000</c:v>
                </c:pt>
                <c:pt idx="1">
                  <c:v>59320.000000</c:v>
                </c:pt>
                <c:pt idx="2">
                  <c:v>56675.000000</c:v>
                </c:pt>
                <c:pt idx="3">
                  <c:v>51858.000000</c:v>
                </c:pt>
                <c:pt idx="4">
                  <c:v>50785.000000</c:v>
                </c:pt>
                <c:pt idx="5">
                  <c:v>49633.000000</c:v>
                </c:pt>
                <c:pt idx="6">
                  <c:v>47515.000000</c:v>
                </c:pt>
                <c:pt idx="7">
                  <c:v>51196.000000</c:v>
                </c:pt>
                <c:pt idx="8">
                  <c:v>51115.000000</c:v>
                </c:pt>
                <c:pt idx="9">
                  <c:v>47693.000000</c:v>
                </c:pt>
                <c:pt idx="10">
                  <c:v>57011.000000</c:v>
                </c:pt>
                <c:pt idx="11">
                  <c:v>57706.000000</c:v>
                </c:pt>
                <c:pt idx="12">
                  <c:v>60773.000000</c:v>
                </c:pt>
                <c:pt idx="13">
                  <c:v>70758.000000</c:v>
                </c:pt>
                <c:pt idx="14">
                  <c:v>66304.000000</c:v>
                </c:pt>
                <c:pt idx="15">
                  <c:v>75554.000000</c:v>
                </c:pt>
                <c:pt idx="16">
                  <c:v>84191.000000</c:v>
                </c:pt>
                <c:pt idx="17">
                  <c:v>87385.000000</c:v>
                </c:pt>
                <c:pt idx="18">
                  <c:v>107994.000000</c:v>
                </c:pt>
                <c:pt idx="19">
                  <c:v>89503.000000</c:v>
                </c:pt>
                <c:pt idx="20">
                  <c:v>72364.000000</c:v>
                </c:pt>
                <c:pt idx="21">
                  <c:v>74436.700000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0"/>
        <c:minorUnit val="187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38717"/>
          <c:y val="0.0554217"/>
          <c:w val="0.34605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690538</xdr:colOff>
      <xdr:row>2</xdr:row>
      <xdr:rowOff>41430</xdr:rowOff>
    </xdr:from>
    <xdr:to>
      <xdr:col>13</xdr:col>
      <xdr:colOff>48628</xdr:colOff>
      <xdr:row>44</xdr:row>
      <xdr:rowOff>98351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75238" y="805335"/>
          <a:ext cx="8070291" cy="107782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663074</xdr:colOff>
      <xdr:row>27</xdr:row>
      <xdr:rowOff>225169</xdr:rowOff>
    </xdr:from>
    <xdr:to>
      <xdr:col>5</xdr:col>
      <xdr:colOff>746704</xdr:colOff>
      <xdr:row>41</xdr:row>
      <xdr:rowOff>24065</xdr:rowOff>
    </xdr:to>
    <xdr:graphicFrame>
      <xdr:nvGraphicFramePr>
        <xdr:cNvPr id="4" name="2D Line Chart"/>
        <xdr:cNvGraphicFramePr/>
      </xdr:nvGraphicFramePr>
      <xdr:xfrm>
        <a:off x="1577474" y="7196199"/>
        <a:ext cx="3741231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1" customWidth="1"/>
    <col min="2" max="2" width="14.7656" style="1" customWidth="1"/>
    <col min="3" max="6" width="9.72656" style="1" customWidth="1"/>
    <col min="7" max="16384" width="16.3516" style="1" customWidth="1"/>
  </cols>
  <sheetData>
    <row r="1" ht="32.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AVERAGE('Sales'!H29:H32)</f>
        <v>0.024611307545465</v>
      </c>
      <c r="D4" s="8"/>
      <c r="E4" s="8"/>
      <c r="F4" s="8">
        <f>AVERAGE(C5:F5)</f>
        <v>0.025</v>
      </c>
    </row>
    <row r="5" ht="20.1" customHeight="1">
      <c r="B5" t="s" s="9">
        <v>4</v>
      </c>
      <c r="C5" s="10">
        <v>0.03</v>
      </c>
      <c r="D5" s="11">
        <v>0.03</v>
      </c>
      <c r="E5" s="11">
        <v>0.05</v>
      </c>
      <c r="F5" s="11">
        <v>-0.01</v>
      </c>
    </row>
    <row r="6" ht="20.1" customHeight="1">
      <c r="B6" t="s" s="9">
        <v>5</v>
      </c>
      <c r="C6" s="12">
        <f>'Sales'!C32*(1+C5)</f>
        <v>19531.066</v>
      </c>
      <c r="D6" s="13">
        <f>C6*(1+D5)</f>
        <v>20116.99798</v>
      </c>
      <c r="E6" s="13">
        <f>D6*(1+E5)</f>
        <v>21122.847879</v>
      </c>
      <c r="F6" s="13">
        <f>E6*(1+F5)</f>
        <v>20911.61940021</v>
      </c>
    </row>
    <row r="7" ht="20.1" customHeight="1">
      <c r="B7" t="s" s="9">
        <v>6</v>
      </c>
      <c r="C7" s="14">
        <f>AVERAGE('Sales'!K32)</f>
        <v>-0.572024826468858</v>
      </c>
      <c r="D7" s="15">
        <f>C7</f>
        <v>-0.572024826468858</v>
      </c>
      <c r="E7" s="15">
        <f>D7</f>
        <v>-0.572024826468858</v>
      </c>
      <c r="F7" s="15">
        <f>E7</f>
        <v>-0.572024826468858</v>
      </c>
    </row>
    <row r="8" ht="20.1" customHeight="1">
      <c r="B8" t="s" s="9">
        <v>7</v>
      </c>
      <c r="C8" s="16">
        <f>C7*C6</f>
        <v>-11172.2546394018</v>
      </c>
      <c r="D8" s="17">
        <f>D7*D6</f>
        <v>-11507.4222785839</v>
      </c>
      <c r="E8" s="17">
        <f>E7*E6</f>
        <v>-12082.7933925131</v>
      </c>
      <c r="F8" s="17">
        <f>F7*F6</f>
        <v>-11961.9654585879</v>
      </c>
    </row>
    <row r="9" ht="20.1" customHeight="1">
      <c r="B9" t="s" s="9">
        <v>8</v>
      </c>
      <c r="C9" s="16">
        <f>C6+C8</f>
        <v>8358.8113605982</v>
      </c>
      <c r="D9" s="17">
        <f>D6+D8</f>
        <v>8609.575701416101</v>
      </c>
      <c r="E9" s="17">
        <f>E6+E8</f>
        <v>9040.054486486901</v>
      </c>
      <c r="F9" s="17">
        <f>F6+F8</f>
        <v>8949.6539416221</v>
      </c>
    </row>
    <row r="10" ht="20.05" customHeight="1">
      <c r="B10" t="s" s="9">
        <v>9</v>
      </c>
      <c r="C10" s="16">
        <f>AVERAGE('Cashflow'!E26:E30)</f>
        <v>-1545.02</v>
      </c>
      <c r="D10" s="17">
        <f>C10</f>
        <v>-1545.02</v>
      </c>
      <c r="E10" s="17">
        <f>D10</f>
        <v>-1545.02</v>
      </c>
      <c r="F10" s="17">
        <f>E10</f>
        <v>-1545.02</v>
      </c>
    </row>
    <row r="11" ht="20.05" customHeight="1">
      <c r="B11" t="s" s="9">
        <v>10</v>
      </c>
      <c r="C11" s="16">
        <f>C13+C15</f>
        <v>-1270.503408179460</v>
      </c>
      <c r="D11" s="17">
        <f>D13+D15</f>
        <v>-1345.732710424830</v>
      </c>
      <c r="E11" s="17">
        <f>E13+E15</f>
        <v>-1474.876345946070</v>
      </c>
      <c r="F11" s="17">
        <f>F13+F15</f>
        <v>-1447.756182486630</v>
      </c>
    </row>
    <row r="12" ht="20.1" customHeight="1">
      <c r="B12" t="s" s="9">
        <v>11</v>
      </c>
      <c r="C12" s="18">
        <v>0.3</v>
      </c>
      <c r="D12" s="17"/>
      <c r="E12" s="17"/>
      <c r="F12" s="17"/>
    </row>
    <row r="13" ht="20.1" customHeight="1">
      <c r="B13" t="s" s="9">
        <v>12</v>
      </c>
      <c r="C13" s="16">
        <f>IF(C22&gt;0,-C22*$C$12,0)</f>
        <v>-1270.503408179460</v>
      </c>
      <c r="D13" s="17">
        <f>IF(D22&gt;0,-D22*$C$12,0)</f>
        <v>-1345.732710424830</v>
      </c>
      <c r="E13" s="17">
        <f>IF(E22&gt;0,-E22*$C$12,0)</f>
        <v>-1474.876345946070</v>
      </c>
      <c r="F13" s="17">
        <f>IF(F22&gt;0,-F22*$C$12,0)</f>
        <v>-1447.756182486630</v>
      </c>
    </row>
    <row r="14" ht="20.05" customHeight="1">
      <c r="B14" t="s" s="9">
        <v>13</v>
      </c>
      <c r="C14" s="16">
        <f>C9+C10+C13</f>
        <v>5543.287952418740</v>
      </c>
      <c r="D14" s="17">
        <f>D9+D10+D13</f>
        <v>5718.822990991270</v>
      </c>
      <c r="E14" s="17">
        <f>E9+E10+E13</f>
        <v>6020.158140540830</v>
      </c>
      <c r="F14" s="17">
        <f>F9+F10+F13</f>
        <v>5956.877759135470</v>
      </c>
    </row>
    <row r="15" ht="20.1" customHeight="1">
      <c r="B15" t="s" s="9">
        <v>14</v>
      </c>
      <c r="C15" s="16">
        <f>-MIN(0,C14)</f>
        <v>0</v>
      </c>
      <c r="D15" s="17">
        <f>-MIN(C28,D14)</f>
        <v>0</v>
      </c>
      <c r="E15" s="17">
        <f>-MIN(D28,E14)</f>
        <v>0</v>
      </c>
      <c r="F15" s="17">
        <f>-MIN(E28,F14)</f>
        <v>0</v>
      </c>
    </row>
    <row r="16" ht="20.1" customHeight="1">
      <c r="B16" t="s" s="9">
        <v>15</v>
      </c>
      <c r="C16" s="16">
        <f>'Balance Sheet '!C32</f>
        <v>104077.7</v>
      </c>
      <c r="D16" s="17">
        <f>C18</f>
        <v>109620.987952419</v>
      </c>
      <c r="E16" s="17">
        <f>D18</f>
        <v>115339.81094341</v>
      </c>
      <c r="F16" s="17">
        <f>E18</f>
        <v>121359.969083951</v>
      </c>
    </row>
    <row r="17" ht="20.1" customHeight="1">
      <c r="B17" t="s" s="9">
        <v>16</v>
      </c>
      <c r="C17" s="16">
        <f>C9+C10+C11</f>
        <v>5543.287952418740</v>
      </c>
      <c r="D17" s="17">
        <f>D9+D10+D11</f>
        <v>5718.822990991270</v>
      </c>
      <c r="E17" s="17">
        <f>E9+E10+E11</f>
        <v>6020.158140540830</v>
      </c>
      <c r="F17" s="17">
        <f>F9+F10+F11</f>
        <v>5956.877759135470</v>
      </c>
    </row>
    <row r="18" ht="20.1" customHeight="1">
      <c r="B18" t="s" s="9">
        <v>17</v>
      </c>
      <c r="C18" s="16">
        <f>C16+C17</f>
        <v>109620.987952419</v>
      </c>
      <c r="D18" s="17">
        <f>D16+D17</f>
        <v>115339.81094341</v>
      </c>
      <c r="E18" s="17">
        <f>E16+E17</f>
        <v>121359.969083951</v>
      </c>
      <c r="F18" s="17">
        <f>F16+F17</f>
        <v>127316.846843086</v>
      </c>
    </row>
    <row r="19" ht="20.1" customHeight="1">
      <c r="B19" t="s" s="19">
        <v>18</v>
      </c>
      <c r="C19" s="20"/>
      <c r="D19" s="21"/>
      <c r="E19" s="21"/>
      <c r="F19" s="21"/>
    </row>
    <row r="20" ht="20.1" customHeight="1">
      <c r="B20" t="s" s="9">
        <v>19</v>
      </c>
      <c r="C20" s="16">
        <f>-AVERAGE('Sales'!F32)</f>
        <v>-524.1</v>
      </c>
      <c r="D20" s="17">
        <f>C20</f>
        <v>-524.1</v>
      </c>
      <c r="E20" s="17">
        <f>D20</f>
        <v>-524.1</v>
      </c>
      <c r="F20" s="17">
        <f>E20</f>
        <v>-524.1</v>
      </c>
    </row>
    <row r="21" ht="20.1" customHeight="1">
      <c r="B21" t="s" s="9">
        <v>20</v>
      </c>
      <c r="C21" s="16">
        <f>-AVERAGE('Sales'!E32)</f>
        <v>-3599.7</v>
      </c>
      <c r="D21" s="17">
        <f>C21</f>
        <v>-3599.7</v>
      </c>
      <c r="E21" s="17">
        <f>D21</f>
        <v>-3599.7</v>
      </c>
      <c r="F21" s="17">
        <f>E21</f>
        <v>-3599.7</v>
      </c>
    </row>
    <row r="22" ht="20.1" customHeight="1">
      <c r="B22" t="s" s="9">
        <v>21</v>
      </c>
      <c r="C22" s="16">
        <f>C6+C8+C20+C21</f>
        <v>4235.0113605982</v>
      </c>
      <c r="D22" s="17">
        <f>D6+D8+D20+D21</f>
        <v>4485.7757014161</v>
      </c>
      <c r="E22" s="17">
        <f>E6+E8+E20+E21</f>
        <v>4916.2544864869</v>
      </c>
      <c r="F22" s="17">
        <f>F6+F8+F20+F21</f>
        <v>4825.8539416221</v>
      </c>
    </row>
    <row r="23" ht="20.1" customHeight="1">
      <c r="B23" t="s" s="19">
        <v>22</v>
      </c>
      <c r="C23" s="20"/>
      <c r="D23" s="21"/>
      <c r="E23" s="21"/>
      <c r="F23" s="21"/>
    </row>
    <row r="24" ht="20.1" customHeight="1">
      <c r="B24" t="s" s="9">
        <v>23</v>
      </c>
      <c r="C24" s="16">
        <f>'Balance Sheet '!E32+'Balance Sheet '!F32-C10</f>
        <v>895885.3199999999</v>
      </c>
      <c r="D24" s="17">
        <f>C24-D10</f>
        <v>897430.34</v>
      </c>
      <c r="E24" s="17">
        <f>D24-E10</f>
        <v>898975.36</v>
      </c>
      <c r="F24" s="17">
        <f>E24-F10</f>
        <v>900520.38</v>
      </c>
    </row>
    <row r="25" ht="20.1" customHeight="1">
      <c r="B25" t="s" s="9">
        <v>24</v>
      </c>
      <c r="C25" s="16">
        <f>'Balance Sheet '!F32-C20-C21</f>
        <v>70558.8</v>
      </c>
      <c r="D25" s="17">
        <f>C25-D20-D21</f>
        <v>74682.600000000006</v>
      </c>
      <c r="E25" s="17">
        <f>D25-E20-E21</f>
        <v>78806.399999999994</v>
      </c>
      <c r="F25" s="17">
        <f>E25-F20-F21</f>
        <v>82930.2</v>
      </c>
    </row>
    <row r="26" ht="20.1" customHeight="1">
      <c r="B26" t="s" s="9">
        <v>25</v>
      </c>
      <c r="C26" s="16">
        <f>C24-C25</f>
        <v>825326.52</v>
      </c>
      <c r="D26" s="17">
        <f>D24-D25</f>
        <v>822747.74</v>
      </c>
      <c r="E26" s="17">
        <f>E24-E25</f>
        <v>820168.96</v>
      </c>
      <c r="F26" s="17">
        <f>F24-F25</f>
        <v>817590.1800000001</v>
      </c>
    </row>
    <row r="27" ht="20.1" customHeight="1">
      <c r="B27" t="s" s="9">
        <v>26</v>
      </c>
      <c r="C27" s="16">
        <f>'Balance Sheet '!G32</f>
        <v>803443</v>
      </c>
      <c r="D27" s="17">
        <f>C27</f>
        <v>803443</v>
      </c>
      <c r="E27" s="17">
        <f>D27</f>
        <v>803443</v>
      </c>
      <c r="F27" s="17">
        <f>E27</f>
        <v>803443</v>
      </c>
    </row>
    <row r="28" ht="20.1" customHeight="1">
      <c r="B28" t="s" s="9">
        <v>14</v>
      </c>
      <c r="C28" s="16">
        <f>C15</f>
        <v>0</v>
      </c>
      <c r="D28" s="17">
        <f>C28+D15</f>
        <v>0</v>
      </c>
      <c r="E28" s="17">
        <f>D28+E15</f>
        <v>0</v>
      </c>
      <c r="F28" s="17">
        <f>E28+F15</f>
        <v>0</v>
      </c>
    </row>
    <row r="29" ht="20.1" customHeight="1">
      <c r="B29" t="s" s="9">
        <v>27</v>
      </c>
      <c r="C29" s="16">
        <f>'Balance Sheet '!H32+C22+C13</f>
        <v>131504.507952419</v>
      </c>
      <c r="D29" s="17">
        <f>C29+D22+D13</f>
        <v>134644.55094341</v>
      </c>
      <c r="E29" s="17">
        <f>D29+E22+E13</f>
        <v>138085.929083951</v>
      </c>
      <c r="F29" s="17">
        <f>E29+F22+F13</f>
        <v>141464.026843086</v>
      </c>
    </row>
    <row r="30" ht="20.1" customHeight="1">
      <c r="B30" t="s" s="9">
        <v>28</v>
      </c>
      <c r="C30" s="16">
        <f>C27+C28+C29-C18-C26</f>
        <v>0</v>
      </c>
      <c r="D30" s="17">
        <f>D27+D28+D29-D18-D26</f>
        <v>0</v>
      </c>
      <c r="E30" s="17">
        <f>E27+E28+E29-E18-E26</f>
        <v>0</v>
      </c>
      <c r="F30" s="17">
        <f>F27+F28+F29-F18-F26</f>
        <v>0</v>
      </c>
    </row>
    <row r="31" ht="20.1" customHeight="1">
      <c r="B31" t="s" s="19">
        <v>29</v>
      </c>
      <c r="C31" s="16"/>
      <c r="D31" s="17"/>
      <c r="E31" s="17"/>
      <c r="F31" s="17"/>
    </row>
    <row r="32" ht="20.1" customHeight="1">
      <c r="B32" t="s" s="9">
        <v>30</v>
      </c>
      <c r="C32" s="16">
        <f>'Cashflow'!M32-C11</f>
        <v>-5374.796591820540</v>
      </c>
      <c r="D32" s="17">
        <f>C32-D11</f>
        <v>-4029.063881395710</v>
      </c>
      <c r="E32" s="17">
        <f>D32-E11</f>
        <v>-2554.187535449640</v>
      </c>
      <c r="F32" s="17">
        <f>E32-F11</f>
        <v>-1106.431352963010</v>
      </c>
    </row>
    <row r="33" ht="20.1" customHeight="1">
      <c r="B33" t="s" s="9">
        <v>31</v>
      </c>
      <c r="C33" s="16"/>
      <c r="D33" s="17"/>
      <c r="E33" s="17"/>
      <c r="F33" s="17">
        <v>133500</v>
      </c>
    </row>
    <row r="34" ht="20.1" customHeight="1">
      <c r="B34" t="s" s="9">
        <v>32</v>
      </c>
      <c r="C34" s="16"/>
      <c r="D34" s="17"/>
      <c r="E34" s="17"/>
      <c r="F34" s="22">
        <f>F33/(F18+F26)</f>
        <v>0.141283741370853</v>
      </c>
    </row>
    <row r="35" ht="20.1" customHeight="1">
      <c r="B35" t="s" s="9">
        <v>33</v>
      </c>
      <c r="C35" s="16"/>
      <c r="D35" s="17"/>
      <c r="E35" s="17"/>
      <c r="F35" s="15">
        <f>-(C13+D13+E13+F13)/F33</f>
        <v>0.0414896527867939</v>
      </c>
    </row>
    <row r="36" ht="20.1" customHeight="1">
      <c r="B36" t="s" s="9">
        <v>34</v>
      </c>
      <c r="C36" s="16"/>
      <c r="D36" s="17"/>
      <c r="E36" s="17"/>
      <c r="F36" s="17">
        <f>SUM(C9:F10)</f>
        <v>28778.0154901233</v>
      </c>
    </row>
    <row r="37" ht="20.1" customHeight="1">
      <c r="B37" t="s" s="9">
        <v>29</v>
      </c>
      <c r="C37" s="16"/>
      <c r="D37" s="17"/>
      <c r="E37" s="17"/>
      <c r="F37" s="17">
        <f>F33/F36</f>
        <v>4.6389578199309</v>
      </c>
    </row>
    <row r="38" ht="20.1" customHeight="1">
      <c r="B38" t="s" s="9">
        <v>35</v>
      </c>
      <c r="C38" s="16"/>
      <c r="D38" s="17"/>
      <c r="E38" s="17"/>
      <c r="F38" s="17">
        <v>6</v>
      </c>
    </row>
    <row r="39" ht="20.1" customHeight="1">
      <c r="B39" t="s" s="9">
        <v>36</v>
      </c>
      <c r="C39" s="16"/>
      <c r="D39" s="17"/>
      <c r="E39" s="17"/>
      <c r="F39" s="17">
        <f>F36*F38</f>
        <v>172668.09294074</v>
      </c>
    </row>
    <row r="40" ht="20.1" customHeight="1">
      <c r="B40" t="s" s="9">
        <v>37</v>
      </c>
      <c r="C40" s="16"/>
      <c r="D40" s="17"/>
      <c r="E40" s="17"/>
      <c r="F40" s="17">
        <f>F33/F42</f>
        <v>13.90625</v>
      </c>
    </row>
    <row r="41" ht="20.1" customHeight="1">
      <c r="B41" t="s" s="9">
        <v>38</v>
      </c>
      <c r="C41" s="16"/>
      <c r="D41" s="17"/>
      <c r="E41" s="17"/>
      <c r="F41" s="17">
        <f>F39/F40</f>
        <v>12416.5819642779</v>
      </c>
    </row>
    <row r="42" ht="20.1" customHeight="1">
      <c r="B42" t="s" s="9">
        <v>39</v>
      </c>
      <c r="C42" s="16"/>
      <c r="D42" s="17"/>
      <c r="E42" s="17"/>
      <c r="F42" s="17">
        <v>9600</v>
      </c>
    </row>
    <row r="43" ht="20.1" customHeight="1">
      <c r="B43" t="s" s="9">
        <v>40</v>
      </c>
      <c r="C43" s="16"/>
      <c r="D43" s="17"/>
      <c r="E43" s="17"/>
      <c r="F43" s="15">
        <f>F41/F42-1</f>
        <v>0.293393954612281</v>
      </c>
    </row>
    <row r="44" ht="20.1" customHeight="1">
      <c r="B44" t="s" s="9">
        <v>41</v>
      </c>
      <c r="C44" s="16"/>
      <c r="D44" s="17"/>
      <c r="E44" s="17"/>
      <c r="F44" s="15">
        <f>'Sales'!C31/'Sales'!C27-1</f>
        <v>-0.0441692885415609</v>
      </c>
    </row>
    <row r="45" ht="20.1" customHeight="1">
      <c r="B45" t="s" s="9">
        <v>42</v>
      </c>
      <c r="C45" s="16"/>
      <c r="D45" s="17"/>
      <c r="E45" s="17"/>
      <c r="F45" s="15">
        <f>'Sales'!F35/'Sales'!E35-1</f>
        <v>0.0376651275602608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3594" style="23" customWidth="1"/>
    <col min="2" max="2" width="9.92969" style="23" customWidth="1"/>
    <col min="3" max="5" width="9.30469" style="23" customWidth="1"/>
    <col min="6" max="12" width="10.5312" style="23" customWidth="1"/>
    <col min="13" max="16384" width="16.3516" style="23" customWidth="1"/>
  </cols>
  <sheetData>
    <row r="1" ht="44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24</v>
      </c>
      <c r="G3" t="s" s="5">
        <v>18</v>
      </c>
      <c r="H3" t="s" s="5">
        <v>44</v>
      </c>
      <c r="I3" t="s" s="5">
        <v>45</v>
      </c>
      <c r="J3" t="s" s="5">
        <v>6</v>
      </c>
      <c r="K3" t="s" s="5">
        <v>6</v>
      </c>
      <c r="L3" t="s" s="5">
        <v>35</v>
      </c>
    </row>
    <row r="4" ht="20.25" customHeight="1">
      <c r="B4" s="24">
        <v>2015</v>
      </c>
      <c r="C4" s="25">
        <v>12298</v>
      </c>
      <c r="D4" s="26"/>
      <c r="E4" s="26">
        <v>1241</v>
      </c>
      <c r="F4" s="26">
        <f>6480-6288</f>
        <v>192</v>
      </c>
      <c r="G4" s="26">
        <v>2817</v>
      </c>
      <c r="H4" s="27"/>
      <c r="I4" s="28">
        <f>C4/'Balance Sheet '!E4</f>
        <v>0.0316386250550229</v>
      </c>
      <c r="J4" s="29">
        <f>(G4+F4+E4-C4)/C4</f>
        <v>-0.654415352089771</v>
      </c>
      <c r="K4" s="29"/>
      <c r="L4" s="29"/>
    </row>
    <row r="5" ht="20.05" customHeight="1">
      <c r="B5" s="30"/>
      <c r="C5" s="16">
        <v>11143</v>
      </c>
      <c r="D5" s="17"/>
      <c r="E5" s="17">
        <f>5999-E4</f>
        <v>4758</v>
      </c>
      <c r="F5" s="17">
        <f>6632-6480</f>
        <v>152</v>
      </c>
      <c r="G5" s="17">
        <f>2430-G4</f>
        <v>-387</v>
      </c>
      <c r="H5" s="15">
        <f>C5/C4-1</f>
        <v>-0.09391771019678</v>
      </c>
      <c r="I5" s="31">
        <f>C5/'Balance Sheet '!E5</f>
        <v>0.0281088706025812</v>
      </c>
      <c r="J5" s="15">
        <f>(G5+F5+E5-C5)/C5</f>
        <v>-0.594094947500673</v>
      </c>
      <c r="K5" s="15"/>
      <c r="L5" s="15"/>
    </row>
    <row r="6" ht="20.05" customHeight="1">
      <c r="B6" s="30"/>
      <c r="C6" s="16">
        <v>12497</v>
      </c>
      <c r="D6" s="17"/>
      <c r="E6" s="17">
        <f>6403-SUM(E4:E5)</f>
        <v>404</v>
      </c>
      <c r="F6" s="17">
        <f>6828-6632</f>
        <v>196</v>
      </c>
      <c r="G6" s="17">
        <f>5998-SUM(G4:G5)</f>
        <v>3568</v>
      </c>
      <c r="H6" s="15">
        <f>C6/C5-1</f>
        <v>0.12151126267612</v>
      </c>
      <c r="I6" s="31">
        <f>C6/'Balance Sheet '!E6</f>
        <v>0.0295415492896152</v>
      </c>
      <c r="J6" s="15">
        <f>(G6+F6+E6-C6)/C6</f>
        <v>-0.666479955189245</v>
      </c>
      <c r="K6" s="15"/>
      <c r="L6" s="15"/>
    </row>
    <row r="7" ht="20.05" customHeight="1">
      <c r="B7" s="30"/>
      <c r="C7" s="16">
        <v>13140</v>
      </c>
      <c r="D7" s="17"/>
      <c r="E7" s="17">
        <f>7336-SUM(E4:E6)</f>
        <v>933</v>
      </c>
      <c r="F7" s="17">
        <f>5592-6828</f>
        <v>-1236</v>
      </c>
      <c r="G7" s="17">
        <f>9141-SUM(G4:G6)</f>
        <v>3143</v>
      </c>
      <c r="H7" s="15">
        <f>C7/C6-1</f>
        <v>0.0514523485636553</v>
      </c>
      <c r="I7" s="31">
        <f>C7/'Balance Sheet '!E7</f>
        <v>0.0284859397823709</v>
      </c>
      <c r="J7" s="15">
        <f>(G7+F7+E7-C7)/C7</f>
        <v>-0.783866057838661</v>
      </c>
      <c r="K7" s="15"/>
      <c r="L7" s="15"/>
    </row>
    <row r="8" ht="20.05" customHeight="1">
      <c r="B8" s="32">
        <v>2016</v>
      </c>
      <c r="C8" s="16">
        <v>13477.9</v>
      </c>
      <c r="D8" s="17"/>
      <c r="E8" s="17">
        <v>1478.2</v>
      </c>
      <c r="F8" s="17">
        <f>5790-5592</f>
        <v>198</v>
      </c>
      <c r="G8" s="17">
        <v>2987</v>
      </c>
      <c r="H8" s="15">
        <f>C8/C7-1</f>
        <v>0.0257153729071537</v>
      </c>
      <c r="I8" s="31">
        <f>C8/'Balance Sheet '!E8</f>
        <v>0.0282396004772985</v>
      </c>
      <c r="J8" s="15">
        <f>(G8+F8+E8-C8)/C8</f>
        <v>-0.654011381595056</v>
      </c>
      <c r="K8" s="15">
        <f>AVERAGE(J5:J8)</f>
        <v>-0.674613085530909</v>
      </c>
      <c r="L8" s="15"/>
    </row>
    <row r="9" ht="20.05" customHeight="1">
      <c r="B9" s="30"/>
      <c r="C9" s="16">
        <v>12500.9</v>
      </c>
      <c r="D9" s="17"/>
      <c r="E9" s="17">
        <f>4732.3-E8</f>
        <v>3254.1</v>
      </c>
      <c r="F9" s="17">
        <f>6012-5790</f>
        <v>222</v>
      </c>
      <c r="G9" s="17">
        <f>4371-G8</f>
        <v>1384</v>
      </c>
      <c r="H9" s="15">
        <f>C9/C8-1</f>
        <v>-0.0724890376097166</v>
      </c>
      <c r="I9" s="31">
        <f>C9/'Balance Sheet '!E9</f>
        <v>0.0245128183005408</v>
      </c>
      <c r="J9" s="15">
        <f>(G9+F9+E9-C9)/C9</f>
        <v>-0.611219992160564</v>
      </c>
      <c r="K9" s="15">
        <f>AVERAGE(J6:J9)</f>
        <v>-0.678894346695882</v>
      </c>
      <c r="L9" s="15"/>
    </row>
    <row r="10" ht="20.05" customHeight="1">
      <c r="B10" s="30"/>
      <c r="C10" s="16">
        <v>17107.3</v>
      </c>
      <c r="D10" s="17"/>
      <c r="E10" s="17">
        <f>6610-SUM(E8:E9)</f>
        <v>1877.7</v>
      </c>
      <c r="F10" s="17">
        <f>6235-6012</f>
        <v>223</v>
      </c>
      <c r="G10" s="17">
        <f>7774.6-SUM(G8:G9)</f>
        <v>3403.6</v>
      </c>
      <c r="H10" s="15">
        <f>C10/C9-1</f>
        <v>0.368485469046229</v>
      </c>
      <c r="I10" s="31">
        <f>C10/'Balance Sheet '!E10</f>
        <v>0.0327628330017273</v>
      </c>
      <c r="J10" s="15">
        <f>(G10+F10+E10-C10)/C10</f>
        <v>-0.678248467028695</v>
      </c>
      <c r="K10" s="15">
        <f>AVERAGE(J7:J10)</f>
        <v>-0.681836474655744</v>
      </c>
      <c r="L10" s="15"/>
    </row>
    <row r="11" ht="20.05" customHeight="1">
      <c r="B11" s="30"/>
      <c r="C11" s="16">
        <v>16241.7</v>
      </c>
      <c r="D11" s="17"/>
      <c r="E11" s="17">
        <f>7853.13-SUM(E8:E10)</f>
        <v>1243.13</v>
      </c>
      <c r="F11" s="17">
        <f>939.5-SUM(F8:F10)</f>
        <v>296.5</v>
      </c>
      <c r="G11" s="17">
        <f>11410.19-SUM(G8:G10)</f>
        <v>3635.59</v>
      </c>
      <c r="H11" s="15">
        <f>C11/C10-1</f>
        <v>-0.0505982826045022</v>
      </c>
      <c r="I11" s="31">
        <f>C11/'Balance Sheet '!E11</f>
        <v>0.0289483491810738</v>
      </c>
      <c r="J11" s="15">
        <f>(G11+F11+E11-C11)/C11</f>
        <v>-0.681362172678968</v>
      </c>
      <c r="K11" s="15">
        <f>AVERAGE(J8:J11)</f>
        <v>-0.656210503365821</v>
      </c>
      <c r="L11" s="15"/>
    </row>
    <row r="12" ht="20.05" customHeight="1">
      <c r="B12" s="32">
        <v>2017</v>
      </c>
      <c r="C12" s="16">
        <v>15674.8</v>
      </c>
      <c r="D12" s="17"/>
      <c r="E12" s="17">
        <v>1800.3</v>
      </c>
      <c r="F12" s="17">
        <v>253.55</v>
      </c>
      <c r="G12" s="17">
        <v>3251.1</v>
      </c>
      <c r="H12" s="15">
        <f>C12/C11-1</f>
        <v>-0.0349039817260508</v>
      </c>
      <c r="I12" s="31">
        <f>C12/'Balance Sheet '!E12</f>
        <v>0.0273224400904498</v>
      </c>
      <c r="J12" s="15">
        <f>(G12+F12+E12-C12)/C12</f>
        <v>-0.661561870007911</v>
      </c>
      <c r="K12" s="15">
        <f>AVERAGE(J9:J12)</f>
        <v>-0.658098125469035</v>
      </c>
      <c r="L12" s="15"/>
    </row>
    <row r="13" ht="20.05" customHeight="1">
      <c r="B13" s="30"/>
      <c r="C13" s="16">
        <v>14561</v>
      </c>
      <c r="D13" s="17"/>
      <c r="E13" s="17">
        <f>3823.7-E12</f>
        <v>2023.4</v>
      </c>
      <c r="F13" s="17">
        <f>494-F12</f>
        <v>240.45</v>
      </c>
      <c r="G13" s="17">
        <f>6472.2-G12</f>
        <v>3221.1</v>
      </c>
      <c r="H13" s="15">
        <f>C13/C12-1</f>
        <v>-0.0710567279965295</v>
      </c>
      <c r="I13" s="31">
        <f>C13/'Balance Sheet '!E13</f>
        <v>0.0247402746899395</v>
      </c>
      <c r="J13" s="15">
        <f>(G13+F13+E13-C13)/C13</f>
        <v>-0.623312272508756</v>
      </c>
      <c r="K13" s="15">
        <f>AVERAGE(J10:J13)</f>
        <v>-0.661121195556083</v>
      </c>
      <c r="L13" s="15"/>
    </row>
    <row r="14" ht="20.05" customHeight="1">
      <c r="B14" s="30"/>
      <c r="C14" s="16">
        <v>18496</v>
      </c>
      <c r="D14" s="17"/>
      <c r="E14" s="17">
        <f>5488.6-SUM(E12:E13)</f>
        <v>1664.9</v>
      </c>
      <c r="F14" s="17">
        <f>807.6-SUM(F12:F13)</f>
        <v>313.6</v>
      </c>
      <c r="G14" s="17">
        <f>10248.5-SUM(G12:G13)</f>
        <v>3776.3</v>
      </c>
      <c r="H14" s="15">
        <f>C14/C13-1</f>
        <v>0.270242428404643</v>
      </c>
      <c r="I14" s="31">
        <f>C14/'Balance Sheet '!E14</f>
        <v>0.0299464797343157</v>
      </c>
      <c r="J14" s="15">
        <f>(G14+F14+E14-C14)/C14</f>
        <v>-0.688862456747405</v>
      </c>
      <c r="K14" s="15">
        <f>AVERAGE(J11:J14)</f>
        <v>-0.66377469298576</v>
      </c>
      <c r="L14" s="15"/>
    </row>
    <row r="15" ht="20.05" customHeight="1">
      <c r="B15" s="30"/>
      <c r="C15" s="16">
        <v>17357.2</v>
      </c>
      <c r="D15" s="17"/>
      <c r="E15" s="17">
        <f>7126-SUM(E12:E14)</f>
        <v>1637.4</v>
      </c>
      <c r="F15" s="17">
        <f>1059.8-SUM(F12:F14)</f>
        <v>252.2</v>
      </c>
      <c r="G15" s="17">
        <f>13771-SUM(G12:G14)</f>
        <v>3522.5</v>
      </c>
      <c r="H15" s="15">
        <f>C15/C14-1</f>
        <v>-0.0615700692041522</v>
      </c>
      <c r="I15" s="31">
        <f>C15/'Balance Sheet '!E15</f>
        <v>0.026549844820492</v>
      </c>
      <c r="J15" s="15">
        <f>(G15+F15+E15-C15)/C15</f>
        <v>-0.688192796073099</v>
      </c>
      <c r="K15" s="15">
        <f>AVERAGE(J12:J15)</f>
        <v>-0.665482348834293</v>
      </c>
      <c r="L15" s="15"/>
    </row>
    <row r="16" ht="20.05" customHeight="1">
      <c r="B16" s="32">
        <v>2018</v>
      </c>
      <c r="C16" s="16">
        <v>16741.3</v>
      </c>
      <c r="D16" s="17"/>
      <c r="E16" s="17">
        <v>1909.5</v>
      </c>
      <c r="F16" s="17">
        <v>276.6</v>
      </c>
      <c r="G16" s="17">
        <v>3655.65</v>
      </c>
      <c r="H16" s="15">
        <f>C16/C15-1</f>
        <v>-0.035483833798078</v>
      </c>
      <c r="I16" s="31">
        <f>C16/'Balance Sheet '!E16</f>
        <v>0.0250571877667077</v>
      </c>
      <c r="J16" s="15">
        <f>(G16+F16+E16-C16)/C16</f>
        <v>-0.65105756422739</v>
      </c>
      <c r="K16" s="15">
        <f>AVERAGE(J13:J16)</f>
        <v>-0.662856272389163</v>
      </c>
      <c r="L16" s="15"/>
    </row>
    <row r="17" ht="20.05" customHeight="1">
      <c r="B17" s="30"/>
      <c r="C17" s="16">
        <v>17208.2</v>
      </c>
      <c r="D17" s="17"/>
      <c r="E17" s="17">
        <f>3868.5-E16</f>
        <v>1959</v>
      </c>
      <c r="F17" s="17">
        <f>587.6-F16</f>
        <v>311</v>
      </c>
      <c r="G17" s="17">
        <f>7449-G16</f>
        <v>3793.35</v>
      </c>
      <c r="H17" s="15">
        <f>C17/C16-1</f>
        <v>0.0278891125539833</v>
      </c>
      <c r="I17" s="31">
        <f>C17/'Balance Sheet '!E17</f>
        <v>0.0252963109093336</v>
      </c>
      <c r="J17" s="15">
        <f>(G17+F17+E17-C17)/C17</f>
        <v>-0.6476476331051479</v>
      </c>
      <c r="K17" s="15">
        <f>AVERAGE(J14:J17)</f>
        <v>-0.668940112538261</v>
      </c>
      <c r="L17" s="15"/>
    </row>
    <row r="18" ht="20.05" customHeight="1">
      <c r="B18" s="30"/>
      <c r="C18" s="16">
        <v>18517.3</v>
      </c>
      <c r="D18" s="17"/>
      <c r="E18" s="17">
        <f>5339.8-SUM(E16:E17)</f>
        <v>1471.3</v>
      </c>
      <c r="F18" s="17">
        <f>895.98-SUM(F16:F17)</f>
        <v>308.38</v>
      </c>
      <c r="G18" s="17">
        <f>11445-SUM(G16:G17)</f>
        <v>3996</v>
      </c>
      <c r="H18" s="15">
        <f>C18/C17-1</f>
        <v>0.07607419718506291</v>
      </c>
      <c r="I18" s="31">
        <f>C18/'Balance Sheet '!E18</f>
        <v>0.025903477013677</v>
      </c>
      <c r="J18" s="15">
        <f>(G18+F18+E18-C18)/C18</f>
        <v>-0.688092756503378</v>
      </c>
      <c r="K18" s="15">
        <f>AVERAGE(J15:J18)</f>
        <v>-0.668747687477254</v>
      </c>
      <c r="L18" s="15"/>
    </row>
    <row r="19" ht="20.05" customHeight="1">
      <c r="B19" s="30"/>
      <c r="C19" s="16">
        <v>19282.2</v>
      </c>
      <c r="D19" s="17"/>
      <c r="E19" s="17">
        <f>7388-SUM(E16:E18)</f>
        <v>2048.2</v>
      </c>
      <c r="F19" s="17">
        <f>1201-SUM(F16:F18)</f>
        <v>305.02</v>
      </c>
      <c r="G19" s="17">
        <f>15092-SUM(G16:G18)</f>
        <v>3647</v>
      </c>
      <c r="H19" s="15">
        <f>C19/C18-1</f>
        <v>0.0413073180215258</v>
      </c>
      <c r="I19" s="31">
        <f>C19/'Balance Sheet '!E19</f>
        <v>0.0258378245104371</v>
      </c>
      <c r="J19" s="15">
        <f>(G19+F19+E19-C19)/C19</f>
        <v>-0.6888207777120871</v>
      </c>
      <c r="K19" s="15">
        <f>AVERAGE(J16:J19)</f>
        <v>-0.668904682887001</v>
      </c>
      <c r="L19" s="15"/>
    </row>
    <row r="20" ht="20.05" customHeight="1">
      <c r="B20" s="32">
        <v>2019</v>
      </c>
      <c r="C20" s="16">
        <v>19334.77</v>
      </c>
      <c r="D20" s="17"/>
      <c r="E20" s="17">
        <v>1728</v>
      </c>
      <c r="F20" s="17">
        <v>323.1</v>
      </c>
      <c r="G20" s="17">
        <v>4118.13</v>
      </c>
      <c r="H20" s="15">
        <f>C20/C19-1</f>
        <v>0.00272634865316198</v>
      </c>
      <c r="I20" s="31">
        <f>C20/'Balance Sheet '!E20</f>
        <v>0.025580544699957</v>
      </c>
      <c r="J20" s="15">
        <f>(G20+F20+E20-C20)/C20</f>
        <v>-0.680925607079888</v>
      </c>
      <c r="K20" s="15">
        <f>AVERAGE(J17:J20)</f>
        <v>-0.6763716936001249</v>
      </c>
      <c r="L20" s="15"/>
    </row>
    <row r="21" ht="20.05" customHeight="1">
      <c r="B21" s="30"/>
      <c r="C21" s="16">
        <v>18973.83</v>
      </c>
      <c r="D21" s="17"/>
      <c r="E21" s="17">
        <f>3968-E20</f>
        <v>2240</v>
      </c>
      <c r="F21" s="17">
        <f>653-F20</f>
        <v>329.9</v>
      </c>
      <c r="G21" s="17">
        <f>7720-G20</f>
        <v>3601.87</v>
      </c>
      <c r="H21" s="15">
        <f>C21/C20-1</f>
        <v>-0.018667923125023</v>
      </c>
      <c r="I21" s="31">
        <f>C21/'Balance Sheet '!E21</f>
        <v>0.0245456732914964</v>
      </c>
      <c r="J21" s="15">
        <f>(G21+F21+E21-C21)/C21</f>
        <v>-0.674721972316607</v>
      </c>
      <c r="K21" s="15">
        <f>AVERAGE(J18:J21)</f>
        <v>-0.68314027840299</v>
      </c>
      <c r="L21" s="15"/>
    </row>
    <row r="22" ht="20.05" customHeight="1">
      <c r="B22" s="30"/>
      <c r="C22" s="16">
        <v>19599.5</v>
      </c>
      <c r="D22" s="17"/>
      <c r="E22" s="17">
        <f>5429.7-SUM(E20:E21)</f>
        <v>1461.7</v>
      </c>
      <c r="F22" s="17">
        <f>1022-SUM(F20:F21)</f>
        <v>369</v>
      </c>
      <c r="G22" s="17">
        <f>12080-SUM(G20:G21)</f>
        <v>4360</v>
      </c>
      <c r="H22" s="15">
        <f>C22/C21-1</f>
        <v>0.0329754193012165</v>
      </c>
      <c r="I22" s="31">
        <f>C22/'Balance Sheet '!E22</f>
        <v>0.0254344404085706</v>
      </c>
      <c r="J22" s="15">
        <f>(G22+F22+E22-C22)/C22</f>
        <v>-0.6841399015281</v>
      </c>
      <c r="K22" s="15">
        <f>AVERAGE(J19:J22)</f>
        <v>-0.682152064659171</v>
      </c>
      <c r="L22" s="15"/>
    </row>
    <row r="23" ht="20.05" customHeight="1">
      <c r="B23" s="30"/>
      <c r="C23" s="16">
        <v>20493.9</v>
      </c>
      <c r="D23" s="17"/>
      <c r="E23" s="17">
        <f>8838-SUM(E20:E22)</f>
        <v>3408.3</v>
      </c>
      <c r="F23" s="17">
        <f>1386-SUM(F20:F22)</f>
        <v>364</v>
      </c>
      <c r="G23" s="17">
        <f>15509-SUM(G20:G22)</f>
        <v>3429</v>
      </c>
      <c r="H23" s="15">
        <f>C23/C22-1</f>
        <v>0.045633817189214</v>
      </c>
      <c r="I23" s="31">
        <f>C23/'Balance Sheet '!E23</f>
        <v>0.0255876613282825</v>
      </c>
      <c r="J23" s="15">
        <f>(G23+F23+E23-C23)/C23</f>
        <v>-0.648612513967571</v>
      </c>
      <c r="K23" s="15">
        <f>AVERAGE(J20:J23)</f>
        <v>-0.672099998723042</v>
      </c>
      <c r="L23" s="15"/>
    </row>
    <row r="24" ht="20.05" customHeight="1">
      <c r="B24" s="32">
        <v>2020</v>
      </c>
      <c r="C24" s="16">
        <v>18992.5</v>
      </c>
      <c r="D24" s="17"/>
      <c r="E24" s="17">
        <v>2271</v>
      </c>
      <c r="F24" s="17">
        <v>555</v>
      </c>
      <c r="G24" s="17">
        <v>4219.9</v>
      </c>
      <c r="H24" s="15">
        <f>C24/C23-1</f>
        <v>-0.0732608239524932</v>
      </c>
      <c r="I24" s="31">
        <f>C24/'Balance Sheet '!E24</f>
        <v>0.0238876751393906</v>
      </c>
      <c r="J24" s="15">
        <f>(G24+F24+E24-C24)/C24</f>
        <v>-0.629016717125181</v>
      </c>
      <c r="K24" s="15">
        <f>AVERAGE(J21:J24)</f>
        <v>-0.659122776234365</v>
      </c>
      <c r="L24" s="15"/>
    </row>
    <row r="25" ht="20.05" customHeight="1">
      <c r="B25" s="30"/>
      <c r="C25" s="16">
        <v>17622.1</v>
      </c>
      <c r="D25" s="21"/>
      <c r="E25" s="17">
        <f>7467-E24</f>
        <v>5196</v>
      </c>
      <c r="F25" s="17">
        <f>1044-F24</f>
        <v>489</v>
      </c>
      <c r="G25" s="17">
        <f>4457.6-G24</f>
        <v>237.7</v>
      </c>
      <c r="H25" s="15">
        <f>C25/C24-1</f>
        <v>-0.07215479794655789</v>
      </c>
      <c r="I25" s="31">
        <f>C25/'Balance Sheet '!E25</f>
        <v>0.0216372617514271</v>
      </c>
      <c r="J25" s="15">
        <f>(G25+F25+E25-C25)/C25</f>
        <v>-0.663904982947549</v>
      </c>
      <c r="K25" s="15">
        <f>AVERAGE(J22:J25)</f>
        <v>-0.6564185288921</v>
      </c>
      <c r="L25" s="15"/>
    </row>
    <row r="26" ht="20.05" customHeight="1">
      <c r="B26" s="30"/>
      <c r="C26" s="16">
        <v>18595.4</v>
      </c>
      <c r="D26" s="17">
        <v>19185.1187365995</v>
      </c>
      <c r="E26" s="17">
        <v>6510</v>
      </c>
      <c r="F26" s="17">
        <v>505</v>
      </c>
      <c r="G26" s="17">
        <v>-113.6</v>
      </c>
      <c r="H26" s="15">
        <f>C26/C25-1</f>
        <v>0.0552317828181658</v>
      </c>
      <c r="I26" s="31">
        <f>C26/'Balance Sheet '!E26</f>
        <v>0.0224947801619541</v>
      </c>
      <c r="J26" s="15">
        <f>(G26+F26+E26-C26)/C26</f>
        <v>-0.628865203222302</v>
      </c>
      <c r="K26" s="15">
        <f>AVERAGE(J23:J26)</f>
        <v>-0.642599854315651</v>
      </c>
      <c r="L26" s="15"/>
    </row>
    <row r="27" ht="20.05" customHeight="1">
      <c r="B27" s="30"/>
      <c r="C27" s="16">
        <f>56172.9+5330.5+13412.6-SUM(C24:C26)</f>
        <v>19706</v>
      </c>
      <c r="D27" s="17">
        <v>20091</v>
      </c>
      <c r="E27" s="17">
        <f>22590.4-SUM(E24:E26)</f>
        <v>8613.4</v>
      </c>
      <c r="F27" s="17">
        <f>2576.7-118-SUM(F24:F26)</f>
        <v>909.7</v>
      </c>
      <c r="G27" s="17">
        <f>3321-SUM(G24:G26)</f>
        <v>-1023</v>
      </c>
      <c r="H27" s="15">
        <f>C27/C26-1</f>
        <v>0.0597244479817589</v>
      </c>
      <c r="I27" s="31">
        <f>C27/'Balance Sheet '!E27</f>
        <v>0.0245852226169077</v>
      </c>
      <c r="J27" s="15">
        <f>(G27+F27+E27-C27)/C27</f>
        <v>-0.5686542169897491</v>
      </c>
      <c r="K27" s="15">
        <f>AVERAGE(J24:J27)</f>
        <v>-0.622610280071195</v>
      </c>
      <c r="L27" s="15"/>
    </row>
    <row r="28" ht="20.05" customHeight="1">
      <c r="B28" s="32">
        <v>2021</v>
      </c>
      <c r="C28" s="16">
        <f>12364+1171.3+3740.2</f>
        <v>17275.5</v>
      </c>
      <c r="D28" s="17">
        <v>19706</v>
      </c>
      <c r="E28" s="17">
        <v>4812.1</v>
      </c>
      <c r="F28" s="17">
        <f>523.8</f>
        <v>523.8</v>
      </c>
      <c r="G28" s="17">
        <v>2394.7</v>
      </c>
      <c r="H28" s="15">
        <f>C28/C27-1</f>
        <v>-0.123338069623465</v>
      </c>
      <c r="I28" s="31">
        <f>C28/'Balance Sheet '!E28</f>
        <v>0.022034244625458</v>
      </c>
      <c r="J28" s="15">
        <f>(G28+F28+E28-C28)/C28</f>
        <v>-0.552510781164076</v>
      </c>
      <c r="K28" s="15">
        <f>AVERAGE(J25:J28)</f>
        <v>-0.603483796080919</v>
      </c>
      <c r="L28" s="15"/>
    </row>
    <row r="29" ht="20.05" customHeight="1">
      <c r="B29" s="30"/>
      <c r="C29" s="16">
        <f>25296+2527.1+7855.7-C28</f>
        <v>18403.3</v>
      </c>
      <c r="D29" s="17">
        <v>18610.3905761629</v>
      </c>
      <c r="E29" s="17">
        <f>9786.1-E28</f>
        <v>4974</v>
      </c>
      <c r="F29" s="17">
        <f>250+1005-F28</f>
        <v>731.2</v>
      </c>
      <c r="G29" s="17">
        <f>6352.6-G28</f>
        <v>3957.9</v>
      </c>
      <c r="H29" s="15">
        <f>C29/C28-1</f>
        <v>0.0652832045382189</v>
      </c>
      <c r="I29" s="31">
        <f>C29/'Balance Sheet '!E29</f>
        <v>0.0246764677250794</v>
      </c>
      <c r="J29" s="15">
        <f>(G29+F29+E29-C29)/C29</f>
        <v>-0.474925692674683</v>
      </c>
      <c r="K29" s="15">
        <f>AVERAGE(J26:J29)</f>
        <v>-0.556238973512703</v>
      </c>
      <c r="L29" s="15"/>
    </row>
    <row r="30" ht="20.05" customHeight="1">
      <c r="B30" s="30"/>
      <c r="C30" s="16">
        <f>37522.7+3896.9+11877-SUM(C28:C29)</f>
        <v>17617.8</v>
      </c>
      <c r="D30" s="17">
        <f>'Model'!C6</f>
        <v>19531.066</v>
      </c>
      <c r="E30" s="17">
        <f>13797.2-SUM(E28:E29)</f>
        <v>4011.1</v>
      </c>
      <c r="F30" s="17">
        <f>1549.2+383.7-SUM(F28:F29)</f>
        <v>677.9</v>
      </c>
      <c r="G30" s="17">
        <f>7772.4-SUM(G28:G29)</f>
        <v>1419.8</v>
      </c>
      <c r="H30" s="15">
        <f>C30/C29-1</f>
        <v>-0.0426825623665321</v>
      </c>
      <c r="I30" s="31">
        <f>C30/'Balance Sheet '!E30</f>
        <v>0.0225952891275642</v>
      </c>
      <c r="J30" s="15">
        <f>(G30+F30+E30-C30)/C30</f>
        <v>-0.6532597713675941</v>
      </c>
      <c r="K30" s="15">
        <f>AVERAGE(J27:J30)</f>
        <v>-0.5623376155490259</v>
      </c>
      <c r="L30" s="15"/>
    </row>
    <row r="31" ht="20.05" customHeight="1">
      <c r="B31" s="30"/>
      <c r="C31" s="16">
        <f>50025.9+5886.6+16219.7-SUM(C28:C30)</f>
        <v>18835.6</v>
      </c>
      <c r="D31" s="13">
        <v>18498.69</v>
      </c>
      <c r="E31" s="17">
        <f>18297.1-SUM(E28:E30)</f>
        <v>4499.9</v>
      </c>
      <c r="F31" s="17">
        <f>1478.5+528.4-SUM(F28:F30)</f>
        <v>74</v>
      </c>
      <c r="G31" s="17">
        <f>10977-SUM(G28:G30)</f>
        <v>3204.6</v>
      </c>
      <c r="H31" s="15">
        <f>C31/C30-1</f>
        <v>0.06912327305338919</v>
      </c>
      <c r="I31" s="31">
        <f>C31/'Balance Sheet '!E31</f>
        <v>0.0237974069422791</v>
      </c>
      <c r="J31" s="15">
        <f>(G31+F31+E31-C31)/C31</f>
        <v>-0.58703200322793</v>
      </c>
      <c r="K31" s="15">
        <f>AVERAGE(J28:J31)</f>
        <v>-0.5669320621085711</v>
      </c>
      <c r="L31" s="15"/>
    </row>
    <row r="32" ht="20.05" customHeight="1">
      <c r="B32" s="32">
        <v>2022</v>
      </c>
      <c r="C32" s="16">
        <f>12174.4+1647.1+5140.7</f>
        <v>18962.2</v>
      </c>
      <c r="D32" s="13">
        <v>18647.244</v>
      </c>
      <c r="E32" s="17">
        <v>3599.7</v>
      </c>
      <c r="F32" s="17">
        <v>524.1</v>
      </c>
      <c r="G32" s="17">
        <v>3975.3</v>
      </c>
      <c r="H32" s="15">
        <f>C32/C31-1</f>
        <v>0.00672131495678396</v>
      </c>
      <c r="I32" s="31">
        <f>C32/'Balance Sheet '!E32</f>
        <v>0.0229038272855603</v>
      </c>
      <c r="J32" s="15">
        <f>(G32+F32+E32-C32)/C32</f>
        <v>-0.572881838605225</v>
      </c>
      <c r="K32" s="15">
        <f>AVERAGE(J29:J32)</f>
        <v>-0.572024826468858</v>
      </c>
      <c r="L32" s="15">
        <f>K32</f>
        <v>-0.572024826468858</v>
      </c>
    </row>
    <row r="33" ht="20.05" customHeight="1">
      <c r="B33" s="30"/>
      <c r="C33" s="20"/>
      <c r="D33" s="13">
        <f>'Model'!C6</f>
        <v>19531.066</v>
      </c>
      <c r="E33" s="17"/>
      <c r="F33" s="17"/>
      <c r="G33" s="17"/>
      <c r="H33" s="11"/>
      <c r="I33" s="33"/>
      <c r="J33" s="11"/>
      <c r="K33" s="33"/>
      <c r="L33" s="15">
        <f>'Model'!C7</f>
        <v>-0.572024826468858</v>
      </c>
    </row>
    <row r="34" ht="20.05" customHeight="1">
      <c r="B34" s="30"/>
      <c r="C34" s="20"/>
      <c r="D34" s="17">
        <f>'Model'!D6</f>
        <v>20116.99798</v>
      </c>
      <c r="E34" s="17"/>
      <c r="F34" s="17"/>
      <c r="G34" s="17"/>
      <c r="H34" s="11"/>
      <c r="I34" s="34"/>
      <c r="J34" s="11"/>
      <c r="K34" s="15"/>
      <c r="L34" s="15"/>
    </row>
    <row r="35" ht="20.05" customHeight="1">
      <c r="B35" s="30"/>
      <c r="C35" s="20"/>
      <c r="D35" s="17">
        <f>'Model'!E6</f>
        <v>21122.847879</v>
      </c>
      <c r="E35" s="17">
        <f>SUM(C26:C32)</f>
        <v>129395.8</v>
      </c>
      <c r="F35" s="17">
        <f>SUM(D26:D32)</f>
        <v>134269.509312762</v>
      </c>
      <c r="G35" s="17"/>
      <c r="H35" s="11"/>
      <c r="I35" s="11"/>
      <c r="J35" s="11"/>
      <c r="K35" s="15"/>
      <c r="L35" s="15"/>
    </row>
    <row r="36" ht="20.05" customHeight="1">
      <c r="B36" s="32">
        <v>2023</v>
      </c>
      <c r="C36" s="20"/>
      <c r="D36" s="17">
        <f>'Model'!F6</f>
        <v>20911.61940021</v>
      </c>
      <c r="E36" s="17"/>
      <c r="F36" s="17"/>
      <c r="G36" s="17"/>
      <c r="H36" s="11"/>
      <c r="I36" s="11"/>
      <c r="J36" s="11"/>
      <c r="K36" s="15"/>
      <c r="L36" s="15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1562" style="35" customWidth="1"/>
    <col min="2" max="15" width="10.6562" style="35" customWidth="1"/>
    <col min="16" max="16384" width="16.3516" style="35" customWidth="1"/>
  </cols>
  <sheetData>
    <row r="1" ht="23.6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26</v>
      </c>
      <c r="G3" t="s" s="5">
        <v>48</v>
      </c>
      <c r="H3" t="s" s="5">
        <v>27</v>
      </c>
      <c r="I3" t="s" s="5">
        <v>49</v>
      </c>
      <c r="J3" t="s" s="5">
        <v>50</v>
      </c>
      <c r="K3" t="s" s="5">
        <v>34</v>
      </c>
      <c r="L3" t="s" s="5">
        <v>35</v>
      </c>
      <c r="M3" t="s" s="5">
        <v>30</v>
      </c>
      <c r="N3" t="s" s="5">
        <v>35</v>
      </c>
      <c r="O3" s="36"/>
    </row>
    <row r="4" ht="20.25" customHeight="1">
      <c r="B4" s="24">
        <v>2015</v>
      </c>
      <c r="C4" s="25">
        <v>3177.49</v>
      </c>
      <c r="D4" s="26">
        <v>4396.3</v>
      </c>
      <c r="E4" s="26">
        <v>1383.8</v>
      </c>
      <c r="F4" s="26">
        <f>I4-H4-G4</f>
        <v>-4491</v>
      </c>
      <c r="G4" s="26"/>
      <c r="H4" s="26"/>
      <c r="I4" s="26">
        <v>-4491</v>
      </c>
      <c r="J4" s="26">
        <f>C4+E4+G4</f>
        <v>4561.29</v>
      </c>
      <c r="K4" s="37"/>
      <c r="L4" s="26"/>
      <c r="M4" s="26">
        <f>-I4</f>
        <v>4491</v>
      </c>
      <c r="N4" s="26"/>
      <c r="O4" s="26">
        <v>1</v>
      </c>
    </row>
    <row r="5" ht="20.05" customHeight="1">
      <c r="B5" s="30"/>
      <c r="C5" s="16">
        <f>6924.5-C4</f>
        <v>3747.01</v>
      </c>
      <c r="D5" s="17">
        <f>15815-D4</f>
        <v>11418.7</v>
      </c>
      <c r="E5" s="17">
        <f>4289.3-E4</f>
        <v>2905.5</v>
      </c>
      <c r="F5" s="17">
        <f>I5-H5-G5</f>
        <v>1706</v>
      </c>
      <c r="G5" s="17"/>
      <c r="H5" s="17"/>
      <c r="I5" s="17">
        <f>-2785-I4</f>
        <v>1706</v>
      </c>
      <c r="J5" s="17">
        <f>C5+E5+G5</f>
        <v>6652.51</v>
      </c>
      <c r="K5" s="21"/>
      <c r="L5" s="17"/>
      <c r="M5" s="17">
        <f>-I5+M4</f>
        <v>2785</v>
      </c>
      <c r="N5" s="17"/>
      <c r="O5" s="17">
        <f>1+O4</f>
        <v>2</v>
      </c>
    </row>
    <row r="6" ht="20.05" customHeight="1">
      <c r="B6" s="30"/>
      <c r="C6" s="16">
        <f>12060-SUM(C4:C5)</f>
        <v>5135.5</v>
      </c>
      <c r="D6" s="17">
        <f>16986-SUM(D4:D5)</f>
        <v>1171</v>
      </c>
      <c r="E6" s="17">
        <f>1975.9-SUM(E4:E5)</f>
        <v>-2313.4</v>
      </c>
      <c r="F6" s="17">
        <f>I6-H6-G6</f>
        <v>31</v>
      </c>
      <c r="G6" s="17"/>
      <c r="H6" s="17"/>
      <c r="I6" s="17">
        <f>-2754-SUM(I4:I5)</f>
        <v>31</v>
      </c>
      <c r="J6" s="17">
        <f>C6+E6+G6</f>
        <v>2822.1</v>
      </c>
      <c r="K6" s="21"/>
      <c r="L6" s="17"/>
      <c r="M6" s="17">
        <f>-I6+M5</f>
        <v>2754</v>
      </c>
      <c r="N6" s="17"/>
      <c r="O6" s="17">
        <f>1+O5</f>
        <v>3</v>
      </c>
    </row>
    <row r="7" ht="20.05" customHeight="1">
      <c r="B7" s="30"/>
      <c r="C7" s="16">
        <f>14097.3-SUM(C4:C6)</f>
        <v>2037.3</v>
      </c>
      <c r="D7" s="17">
        <f>24357-SUM(D4:D6)</f>
        <v>7371</v>
      </c>
      <c r="E7" s="17">
        <f>-3516-SUM(E4:E6)</f>
        <v>-5491.9</v>
      </c>
      <c r="F7" s="17">
        <f>I7-H7-G7</f>
        <v>12004</v>
      </c>
      <c r="G7" s="17"/>
      <c r="H7" s="17"/>
      <c r="I7" s="17">
        <f>9250-SUM(I4:I6)</f>
        <v>12004</v>
      </c>
      <c r="J7" s="17">
        <f>C7+E7+G7</f>
        <v>-3454.6</v>
      </c>
      <c r="K7" s="21"/>
      <c r="L7" s="17"/>
      <c r="M7" s="17">
        <f>-I7+M6</f>
        <v>-9250</v>
      </c>
      <c r="N7" s="17"/>
      <c r="O7" s="17">
        <f>1+O6</f>
        <v>4</v>
      </c>
    </row>
    <row r="8" ht="20.05" customHeight="1">
      <c r="B8" s="32">
        <v>2016</v>
      </c>
      <c r="C8" s="16">
        <v>4030.9</v>
      </c>
      <c r="D8" s="17">
        <v>3535.3</v>
      </c>
      <c r="E8" s="17">
        <v>-15483.7</v>
      </c>
      <c r="F8" s="17">
        <f>I8-H8-G8</f>
        <v>-3546.9</v>
      </c>
      <c r="G8" s="17"/>
      <c r="H8" s="17"/>
      <c r="I8" s="17">
        <v>-3546.9</v>
      </c>
      <c r="J8" s="17">
        <f>C8+E8+G8</f>
        <v>-11452.8</v>
      </c>
      <c r="K8" s="17">
        <f>AVERAGE(J5:J8)</f>
        <v>-1358.1975</v>
      </c>
      <c r="L8" s="17"/>
      <c r="M8" s="17">
        <f>-I8+M7</f>
        <v>-5703.1</v>
      </c>
      <c r="N8" s="17"/>
      <c r="O8" s="17">
        <f>1+O7</f>
        <v>5</v>
      </c>
    </row>
    <row r="9" ht="20.05" customHeight="1">
      <c r="B9" s="30"/>
      <c r="C9" s="16">
        <f>4960.3-C8</f>
        <v>929.4</v>
      </c>
      <c r="D9" s="17">
        <f>-6398.4-D8</f>
        <v>-9933.700000000001</v>
      </c>
      <c r="E9" s="17">
        <f>-15914.8-E8</f>
        <v>-431.1</v>
      </c>
      <c r="F9" s="17">
        <f>I9-H9-G9</f>
        <v>7711.3</v>
      </c>
      <c r="G9" s="17"/>
      <c r="H9" s="17"/>
      <c r="I9" s="17">
        <f>4164.4-I8</f>
        <v>7711.3</v>
      </c>
      <c r="J9" s="17">
        <f>C9+E9+G9</f>
        <v>498.3</v>
      </c>
      <c r="K9" s="17">
        <f>AVERAGE(J6:J9)</f>
        <v>-2896.75</v>
      </c>
      <c r="L9" s="17"/>
      <c r="M9" s="17">
        <f>-I9+M8</f>
        <v>-13414.4</v>
      </c>
      <c r="N9" s="17"/>
      <c r="O9" s="17">
        <f>1+O8</f>
        <v>6</v>
      </c>
    </row>
    <row r="10" ht="20.05" customHeight="1">
      <c r="B10" s="30"/>
      <c r="C10" s="16">
        <f>10120.7-SUM(C8:C9)</f>
        <v>5160.4</v>
      </c>
      <c r="D10" s="17">
        <f>6317.3-SUM(D8:D9)</f>
        <v>12715.7</v>
      </c>
      <c r="E10" s="17">
        <f>-22211-SUM(E8:E9)</f>
        <v>-6296.2</v>
      </c>
      <c r="F10" s="17">
        <f>I10-H10-G10</f>
        <v>13767.8</v>
      </c>
      <c r="G10" s="17"/>
      <c r="H10" s="17"/>
      <c r="I10" s="17">
        <f>17932.2-SUM(I8:I9)</f>
        <v>13767.8</v>
      </c>
      <c r="J10" s="17">
        <f>C10+E10+G10</f>
        <v>-1135.8</v>
      </c>
      <c r="K10" s="17">
        <f>AVERAGE(J7:J10)</f>
        <v>-3886.225</v>
      </c>
      <c r="L10" s="17"/>
      <c r="M10" s="17">
        <f>-I10+M9</f>
        <v>-27182.2</v>
      </c>
      <c r="N10" s="17"/>
      <c r="O10" s="17">
        <f>1+O9</f>
        <v>7</v>
      </c>
    </row>
    <row r="11" ht="20.05" customHeight="1">
      <c r="B11" s="30"/>
      <c r="C11" s="16">
        <f>15854-SUM(C8:C10)</f>
        <v>5733.3</v>
      </c>
      <c r="D11" s="17">
        <f>15999-SUM(D8:D10)</f>
        <v>9681.700000000001</v>
      </c>
      <c r="E11" s="17">
        <f>-29400-SUM(E8:E10)</f>
        <v>-7189</v>
      </c>
      <c r="F11" s="17">
        <f>I11-H11-G11</f>
        <v>-9871.9</v>
      </c>
      <c r="G11" s="17"/>
      <c r="H11" s="17"/>
      <c r="I11" s="17">
        <f>8060.3-SUM(I8:I10)</f>
        <v>-9871.9</v>
      </c>
      <c r="J11" s="17">
        <f>C11+E11+G11</f>
        <v>-1455.7</v>
      </c>
      <c r="K11" s="17">
        <f>AVERAGE(J8:J11)</f>
        <v>-3386.5</v>
      </c>
      <c r="L11" s="17"/>
      <c r="M11" s="17">
        <f>-I11+M10</f>
        <v>-17310.3</v>
      </c>
      <c r="N11" s="17"/>
      <c r="O11" s="17">
        <f>1+O10</f>
        <v>8</v>
      </c>
    </row>
    <row r="12" ht="20.05" customHeight="1">
      <c r="B12" s="32">
        <v>2017</v>
      </c>
      <c r="C12" s="16">
        <v>4316.6</v>
      </c>
      <c r="D12" s="17">
        <v>10436.67</v>
      </c>
      <c r="E12" s="17">
        <v>-4648</v>
      </c>
      <c r="F12" s="17">
        <f>I12-H12-G12</f>
        <v>-2646.7</v>
      </c>
      <c r="G12" s="17">
        <v>0</v>
      </c>
      <c r="H12" s="17"/>
      <c r="I12" s="17">
        <v>-2646.7</v>
      </c>
      <c r="J12" s="17">
        <f>C12+E12+G12</f>
        <v>-331.4</v>
      </c>
      <c r="K12" s="17">
        <f>AVERAGE(J9:J12)</f>
        <v>-606.15</v>
      </c>
      <c r="L12" s="17"/>
      <c r="M12" s="17">
        <f>-I12+M11</f>
        <v>-14663.6</v>
      </c>
      <c r="N12" s="17"/>
      <c r="O12" s="17">
        <f>1+O11</f>
        <v>9</v>
      </c>
    </row>
    <row r="13" ht="20.05" customHeight="1">
      <c r="B13" s="30"/>
      <c r="C13" s="16">
        <f>10083.5-C12</f>
        <v>5766.9</v>
      </c>
      <c r="D13" s="17">
        <f>12741.6-D12</f>
        <v>2304.93</v>
      </c>
      <c r="E13" s="17">
        <f>-1717.5-E12</f>
        <v>2930.5</v>
      </c>
      <c r="F13" s="17">
        <f>I13-H13-G13</f>
        <v>-3196.4</v>
      </c>
      <c r="G13" s="17">
        <v>0</v>
      </c>
      <c r="H13" s="17">
        <f>-3968.6-H12</f>
        <v>-3968.6</v>
      </c>
      <c r="I13" s="17">
        <f>-9811.7-I12</f>
        <v>-7165</v>
      </c>
      <c r="J13" s="17">
        <f>C13+E13+G13</f>
        <v>8697.4</v>
      </c>
      <c r="K13" s="17">
        <f>AVERAGE(J10:J13)</f>
        <v>1443.625</v>
      </c>
      <c r="L13" s="17"/>
      <c r="M13" s="17">
        <f>-I13+M12</f>
        <v>-7498.6</v>
      </c>
      <c r="N13" s="17"/>
      <c r="O13" s="17">
        <f>1+O12</f>
        <v>10</v>
      </c>
    </row>
    <row r="14" ht="20.05" customHeight="1">
      <c r="B14" s="30"/>
      <c r="C14" s="16">
        <f>11053.3-SUM(C12:C13)</f>
        <v>969.8</v>
      </c>
      <c r="D14" s="17">
        <f>17091.6-SUM(D12:D13)</f>
        <v>4350</v>
      </c>
      <c r="E14" s="17">
        <f>-10415.9-SUM(E12:E13)</f>
        <v>-8698.4</v>
      </c>
      <c r="F14" s="17">
        <f>I14-H14-G14</f>
        <v>11733.7</v>
      </c>
      <c r="G14" s="17">
        <v>0</v>
      </c>
      <c r="H14" s="17"/>
      <c r="I14" s="17">
        <f>1922-SUM(I12:I13)</f>
        <v>11733.7</v>
      </c>
      <c r="J14" s="17">
        <f>C14+E14+G14</f>
        <v>-7728.6</v>
      </c>
      <c r="K14" s="17">
        <f>AVERAGE(J11:J14)</f>
        <v>-204.575</v>
      </c>
      <c r="L14" s="17"/>
      <c r="M14" s="17">
        <f>-I14+M13</f>
        <v>-19232.3</v>
      </c>
      <c r="N14" s="17"/>
      <c r="O14" s="17">
        <f>1+O13</f>
        <v>11</v>
      </c>
    </row>
    <row r="15" ht="20.05" customHeight="1">
      <c r="B15" s="30"/>
      <c r="C15" s="16">
        <f>21241.3-SUM(C12:C14)</f>
        <v>10188</v>
      </c>
      <c r="D15" s="17">
        <f>33677.3-SUM(D12:D14)</f>
        <v>16585.7</v>
      </c>
      <c r="E15" s="17">
        <f>-23274.3-SUM(E12:E14)</f>
        <v>-12858.4</v>
      </c>
      <c r="F15" s="17">
        <f>I15-H15-G15</f>
        <v>1271.9</v>
      </c>
      <c r="G15" s="17">
        <v>0</v>
      </c>
      <c r="H15" s="17">
        <f>-3968.6-SUM(H12:H14)</f>
        <v>0</v>
      </c>
      <c r="I15" s="17">
        <f>3193.9-SUM(I12:I14)</f>
        <v>1271.9</v>
      </c>
      <c r="J15" s="17">
        <f>C15+E15+G15</f>
        <v>-2670.4</v>
      </c>
      <c r="K15" s="17">
        <f>AVERAGE(J12:J15)</f>
        <v>-508.25</v>
      </c>
      <c r="L15" s="17"/>
      <c r="M15" s="17">
        <f>-I15+M14</f>
        <v>-20504.2</v>
      </c>
      <c r="N15" s="17"/>
      <c r="O15" s="17">
        <f>1+O14</f>
        <v>12</v>
      </c>
    </row>
    <row r="16" ht="20.05" customHeight="1">
      <c r="B16" s="32">
        <v>2018</v>
      </c>
      <c r="C16" s="16">
        <v>7004</v>
      </c>
      <c r="D16" s="17">
        <v>-11314.3</v>
      </c>
      <c r="E16" s="17">
        <v>-13774.26</v>
      </c>
      <c r="F16" s="17">
        <f>I16-H16-G16</f>
        <v>6059.7</v>
      </c>
      <c r="G16" s="17">
        <v>0</v>
      </c>
      <c r="H16" s="17">
        <v>-4765.8</v>
      </c>
      <c r="I16" s="17">
        <v>1293.9</v>
      </c>
      <c r="J16" s="17">
        <f>C16+E16+G16</f>
        <v>-6770.26</v>
      </c>
      <c r="K16" s="17">
        <f>AVERAGE(J13:J16)</f>
        <v>-2117.965</v>
      </c>
      <c r="L16" s="17"/>
      <c r="M16" s="17">
        <f>-I16+M15</f>
        <v>-21798.1</v>
      </c>
      <c r="N16" s="17"/>
      <c r="O16" s="17">
        <f>1+O15</f>
        <v>13</v>
      </c>
    </row>
    <row r="17" ht="20.05" customHeight="1">
      <c r="B17" s="30"/>
      <c r="C17" s="16">
        <f>11182.3-C16</f>
        <v>4178.3</v>
      </c>
      <c r="D17" s="17">
        <f>-10363.2-D16</f>
        <v>951.1</v>
      </c>
      <c r="E17" s="17">
        <f>-6007.7-E16</f>
        <v>7766.56</v>
      </c>
      <c r="F17" s="17">
        <f>I17-H17-G17</f>
        <v>13429.8</v>
      </c>
      <c r="G17" s="17">
        <v>0</v>
      </c>
      <c r="H17" s="17">
        <f>-4765.8-H16</f>
        <v>0</v>
      </c>
      <c r="I17" s="17">
        <f>14723.7-I16</f>
        <v>13429.8</v>
      </c>
      <c r="J17" s="17">
        <f>C17+E17+G17</f>
        <v>11944.86</v>
      </c>
      <c r="K17" s="17">
        <f>AVERAGE(J14:J17)</f>
        <v>-1306.1</v>
      </c>
      <c r="L17" s="17"/>
      <c r="M17" s="17">
        <f>-I17+M16</f>
        <v>-35227.9</v>
      </c>
      <c r="N17" s="17"/>
      <c r="O17" s="17">
        <f>1+O16</f>
        <v>14</v>
      </c>
    </row>
    <row r="18" ht="20.05" customHeight="1">
      <c r="B18" s="30"/>
      <c r="C18" s="16">
        <f>16271.6-SUM(C16:C17)</f>
        <v>5089.3</v>
      </c>
      <c r="D18" s="17">
        <f>-11771.6-SUM(D16:D17)</f>
        <v>-1408.4</v>
      </c>
      <c r="E18" s="17">
        <f>-7406.1-SUM(E16:E17)</f>
        <v>-1398.4</v>
      </c>
      <c r="F18" s="17">
        <f>I18-H18-G18</f>
        <v>-2450.7</v>
      </c>
      <c r="G18" s="17">
        <v>0</v>
      </c>
      <c r="H18" s="17">
        <f>-4765.8-SUM(H16:H17)</f>
        <v>0</v>
      </c>
      <c r="I18" s="17">
        <f>12273-SUM(I16:I17)</f>
        <v>-2450.7</v>
      </c>
      <c r="J18" s="17">
        <f>C18+E18+G18</f>
        <v>3690.9</v>
      </c>
      <c r="K18" s="17">
        <f>AVERAGE(J15:J18)</f>
        <v>1548.775</v>
      </c>
      <c r="L18" s="17"/>
      <c r="M18" s="17">
        <f>-I18+M17</f>
        <v>-32777.2</v>
      </c>
      <c r="N18" s="17"/>
      <c r="O18" s="17">
        <f>1+O17</f>
        <v>15</v>
      </c>
    </row>
    <row r="19" ht="20.05" customHeight="1">
      <c r="B19" s="30"/>
      <c r="C19" s="16">
        <f>25381-SUM(C16:C18)</f>
        <v>9109.4</v>
      </c>
      <c r="D19" s="17">
        <f>-4274-SUM(D16:D18)</f>
        <v>7497.6</v>
      </c>
      <c r="E19" s="17">
        <f>-9612-SUM(E16:E18)</f>
        <v>-2205.9</v>
      </c>
      <c r="F19" s="17">
        <f>I19-H19-G19</f>
        <v>8336</v>
      </c>
      <c r="G19" s="17">
        <v>0</v>
      </c>
      <c r="H19" s="17">
        <f>-4765.8-SUM(H16:H18)</f>
        <v>0</v>
      </c>
      <c r="I19" s="17">
        <f>20609-SUM(I16:I18)</f>
        <v>8336</v>
      </c>
      <c r="J19" s="17">
        <f>C19+E19+G19</f>
        <v>6903.5</v>
      </c>
      <c r="K19" s="17">
        <f>AVERAGE(J16:J19)</f>
        <v>3942.25</v>
      </c>
      <c r="L19" s="17"/>
      <c r="M19" s="17">
        <f>-I19+M18</f>
        <v>-41113.2</v>
      </c>
      <c r="N19" s="17"/>
      <c r="O19" s="17">
        <f>1+O18</f>
        <v>16</v>
      </c>
    </row>
    <row r="20" ht="20.05" customHeight="1">
      <c r="B20" s="32">
        <v>2019</v>
      </c>
      <c r="C20" s="16">
        <v>6327</v>
      </c>
      <c r="D20" s="17">
        <v>-840.3200000000001</v>
      </c>
      <c r="E20" s="17">
        <v>-678.05</v>
      </c>
      <c r="F20" s="17">
        <f>I20-H20-G20</f>
        <v>-16050.5</v>
      </c>
      <c r="G20" s="17">
        <v>0</v>
      </c>
      <c r="H20" s="17">
        <v>0</v>
      </c>
      <c r="I20" s="17">
        <v>-16050.5</v>
      </c>
      <c r="J20" s="17">
        <f>C20+E20+G20</f>
        <v>5648.95</v>
      </c>
      <c r="K20" s="17">
        <f>AVERAGE(J17:J20)</f>
        <v>7047.0525</v>
      </c>
      <c r="L20" s="17"/>
      <c r="M20" s="17">
        <f>-I20+M19</f>
        <v>-25062.7</v>
      </c>
      <c r="N20" s="17"/>
      <c r="O20" s="17">
        <f>1+O19</f>
        <v>17</v>
      </c>
    </row>
    <row r="21" ht="20.05" customHeight="1">
      <c r="B21" s="30"/>
      <c r="C21" s="16">
        <f>11176.3-C20</f>
        <v>4849.3</v>
      </c>
      <c r="D21" s="17">
        <f>1987.8-D20</f>
        <v>2828.12</v>
      </c>
      <c r="E21" s="17">
        <f>7600.5-E20</f>
        <v>8278.549999999999</v>
      </c>
      <c r="F21" s="17">
        <f>I21-H21-G21</f>
        <v>18135</v>
      </c>
      <c r="G21" s="17">
        <v>0</v>
      </c>
      <c r="H21" s="17">
        <f>-3753.8-H20</f>
        <v>-3753.8</v>
      </c>
      <c r="I21" s="17">
        <f>-1669.3-I20</f>
        <v>14381.2</v>
      </c>
      <c r="J21" s="17">
        <f>C21+E21+G21</f>
        <v>13127.85</v>
      </c>
      <c r="K21" s="17">
        <f>AVERAGE(J18:J21)</f>
        <v>7342.8</v>
      </c>
      <c r="L21" s="17"/>
      <c r="M21" s="17">
        <f>-I21+M20</f>
        <v>-39443.9</v>
      </c>
      <c r="N21" s="17"/>
      <c r="O21" s="17">
        <f>1+O20</f>
        <v>18</v>
      </c>
    </row>
    <row r="22" ht="20.05" customHeight="1">
      <c r="B22" s="30"/>
      <c r="C22" s="16">
        <f>20973-SUM(C20:C21)</f>
        <v>9796.700000000001</v>
      </c>
      <c r="D22" s="17">
        <f>-17318-SUM(D20:D21)</f>
        <v>-19305.8</v>
      </c>
      <c r="E22" s="17">
        <f>11872-SUM(E20:E21)</f>
        <v>4271.5</v>
      </c>
      <c r="F22" s="17">
        <f>I22-H22-G22</f>
        <v>-10502.7</v>
      </c>
      <c r="G22" s="17">
        <v>0</v>
      </c>
      <c r="H22" s="17">
        <f>-3753.8-SUM(H20:H21)</f>
        <v>0</v>
      </c>
      <c r="I22" s="17">
        <f>-12172-SUM(I20:I21)</f>
        <v>-10502.7</v>
      </c>
      <c r="J22" s="17">
        <f>C22+E22+G22</f>
        <v>14068.2</v>
      </c>
      <c r="K22" s="17">
        <f>AVERAGE(J19:J22)</f>
        <v>9937.125</v>
      </c>
      <c r="L22" s="17"/>
      <c r="M22" s="17">
        <f>-I22+M21</f>
        <v>-28941.2</v>
      </c>
      <c r="N22" s="17"/>
      <c r="O22" s="17">
        <f>1+O21</f>
        <v>19</v>
      </c>
    </row>
    <row r="23" ht="20.05" customHeight="1">
      <c r="B23" s="30"/>
      <c r="C23" s="16">
        <f>28102-SUM(C20:C22)</f>
        <v>7129</v>
      </c>
      <c r="D23" s="17">
        <f>-12611-SUM(D20:D22)</f>
        <v>4707</v>
      </c>
      <c r="E23" s="17">
        <f>13484-SUM(E20:E22)</f>
        <v>1612</v>
      </c>
      <c r="F23" s="17">
        <f>I23-H23-G23</f>
        <v>-6319</v>
      </c>
      <c r="G23" s="17">
        <v>0</v>
      </c>
      <c r="H23" s="17">
        <f>-3753.8-SUM(H20:H22)</f>
        <v>0</v>
      </c>
      <c r="I23" s="17">
        <f>-18491-SUM(I20:I22)</f>
        <v>-6319</v>
      </c>
      <c r="J23" s="17">
        <f>C23+E23+G23</f>
        <v>8741</v>
      </c>
      <c r="K23" s="17">
        <f>AVERAGE(J20:J23)</f>
        <v>10396.5</v>
      </c>
      <c r="L23" s="17"/>
      <c r="M23" s="17">
        <f>-I23+M22</f>
        <v>-22622.2</v>
      </c>
      <c r="N23" s="17"/>
      <c r="O23" s="17">
        <f>1+O22</f>
        <v>20</v>
      </c>
    </row>
    <row r="24" ht="20.05" customHeight="1">
      <c r="B24" s="32">
        <v>2020</v>
      </c>
      <c r="C24" s="16">
        <f>9718</f>
        <v>9718</v>
      </c>
      <c r="D24" s="17">
        <v>28780.16</v>
      </c>
      <c r="E24" s="17">
        <v>-4011.34</v>
      </c>
      <c r="F24" s="17">
        <f>I24-H24-G24</f>
        <v>7774</v>
      </c>
      <c r="G24" s="17">
        <v>0</v>
      </c>
      <c r="H24" s="17">
        <v>-3846.1</v>
      </c>
      <c r="I24" s="17">
        <v>3927.9</v>
      </c>
      <c r="J24" s="17">
        <f>C24+E24+G24</f>
        <v>5706.66</v>
      </c>
      <c r="K24" s="17">
        <f>AVERAGE(J21:J24)</f>
        <v>10410.9275</v>
      </c>
      <c r="L24" s="17"/>
      <c r="M24" s="17">
        <f>-I24+M23</f>
        <v>-26550.1</v>
      </c>
      <c r="N24" s="17"/>
      <c r="O24" s="17">
        <f>1+O23</f>
        <v>21</v>
      </c>
    </row>
    <row r="25" ht="20.05" customHeight="1">
      <c r="B25" s="30"/>
      <c r="C25" s="16">
        <f>10567.8-C24</f>
        <v>849.8</v>
      </c>
      <c r="D25" s="17">
        <f>43874.2-D24</f>
        <v>15094.04</v>
      </c>
      <c r="E25" s="17">
        <f>-11845.7-E24</f>
        <v>-7834.36</v>
      </c>
      <c r="F25" s="17">
        <f>I25-H25-G25</f>
        <v>-14273.6</v>
      </c>
      <c r="G25" s="17">
        <f>-588.4-G24</f>
        <v>-588.4</v>
      </c>
      <c r="H25" s="17">
        <f>-3846.1-79.4-H24</f>
        <v>-79.40000000000001</v>
      </c>
      <c r="I25" s="17">
        <f>-11013.5-I24</f>
        <v>-14941.4</v>
      </c>
      <c r="J25" s="17">
        <f>C25+E25+G25</f>
        <v>-7572.96</v>
      </c>
      <c r="K25" s="17">
        <f>AVERAGE(J22:J25)</f>
        <v>5235.725</v>
      </c>
      <c r="L25" s="17"/>
      <c r="M25" s="17">
        <f>-I25+M24</f>
        <v>-11608.7</v>
      </c>
      <c r="N25" s="17"/>
      <c r="O25" s="17">
        <f>1+O24</f>
        <v>22</v>
      </c>
    </row>
    <row r="26" ht="20.05" customHeight="1">
      <c r="B26" s="30"/>
      <c r="C26" s="16">
        <v>8365.200000000001</v>
      </c>
      <c r="D26" s="17">
        <v>22144.8</v>
      </c>
      <c r="E26" s="17">
        <v>3998.7</v>
      </c>
      <c r="F26" s="17">
        <f>I26-H26-G26</f>
        <v>-2002.1</v>
      </c>
      <c r="G26" s="17">
        <f>-120.8-SUM(G24:G25)</f>
        <v>467.6</v>
      </c>
      <c r="H26" s="17">
        <f>-3846.1-79.4-SUM(H24:H25)</f>
        <v>0</v>
      </c>
      <c r="I26" s="17">
        <v>-1534.5</v>
      </c>
      <c r="J26" s="17">
        <f>C26+E26+G26</f>
        <v>12831.5</v>
      </c>
      <c r="K26" s="17">
        <f>AVERAGE(J23:J26)</f>
        <v>4926.55</v>
      </c>
      <c r="L26" s="17"/>
      <c r="M26" s="17">
        <f>-I26+M25</f>
        <v>-10074.2</v>
      </c>
      <c r="N26" s="17"/>
      <c r="O26" s="17">
        <f>1+O25</f>
        <v>23</v>
      </c>
    </row>
    <row r="27" ht="20.05" customHeight="1">
      <c r="B27" s="30"/>
      <c r="C27" s="16">
        <f>25212.3-SUM(C24:C26)</f>
        <v>6279.3</v>
      </c>
      <c r="D27" s="17">
        <f>74253.9-SUM(D24:D26)</f>
        <v>8234.9</v>
      </c>
      <c r="E27" s="17">
        <f>-11992.1-SUM(E24:E26)</f>
        <v>-4145.1</v>
      </c>
      <c r="F27" s="17">
        <f>I27-H27-G27</f>
        <v>-4521.7</v>
      </c>
      <c r="G27" s="17">
        <f>-190.3-SUM(G24:G26)</f>
        <v>-69.5</v>
      </c>
      <c r="H27" s="17">
        <f>-3846.1-79.4-SUM(H24:H26)</f>
        <v>0</v>
      </c>
      <c r="I27" s="17">
        <f>-17139.2-SUM(I24:I26)</f>
        <v>-4591.2</v>
      </c>
      <c r="J27" s="17">
        <f>C27+E27+G27</f>
        <v>2064.7</v>
      </c>
      <c r="K27" s="17">
        <f>AVERAGE(J24:J27)</f>
        <v>3257.475</v>
      </c>
      <c r="L27" s="17"/>
      <c r="M27" s="17">
        <f>-I27+M26</f>
        <v>-5483</v>
      </c>
      <c r="N27" s="17"/>
      <c r="O27" s="17">
        <f>1+O26</f>
        <v>24</v>
      </c>
    </row>
    <row r="28" ht="20.05" customHeight="1">
      <c r="B28" s="32">
        <v>2021</v>
      </c>
      <c r="C28" s="16">
        <v>4798.7</v>
      </c>
      <c r="D28" s="17">
        <v>-20836.1</v>
      </c>
      <c r="E28" s="17">
        <v>3491.9</v>
      </c>
      <c r="F28" s="17">
        <f>I28-H28-G28</f>
        <v>6820.9</v>
      </c>
      <c r="G28" s="17">
        <v>-43.8</v>
      </c>
      <c r="H28" s="17">
        <f>-820.1</f>
        <v>-820.1</v>
      </c>
      <c r="I28" s="17">
        <f>5957</f>
        <v>5957</v>
      </c>
      <c r="J28" s="17">
        <f>C28+E28+G28</f>
        <v>8246.799999999999</v>
      </c>
      <c r="K28" s="17">
        <f>AVERAGE(J25:J28)</f>
        <v>3892.51</v>
      </c>
      <c r="L28" s="17"/>
      <c r="M28" s="17">
        <f>-I28+M27</f>
        <v>-11440</v>
      </c>
      <c r="N28" s="17"/>
      <c r="O28" s="17">
        <f>1+O27</f>
        <v>25</v>
      </c>
    </row>
    <row r="29" ht="20.05" customHeight="1">
      <c r="B29" s="30"/>
      <c r="C29" s="16">
        <f>17368.2-C28</f>
        <v>12569.5</v>
      </c>
      <c r="D29" s="17">
        <f>39703.9-D28</f>
        <v>60540</v>
      </c>
      <c r="E29" s="17">
        <f>-3034.3-E28</f>
        <v>-6526.2</v>
      </c>
      <c r="F29" s="17">
        <f>I29-H29-G29</f>
        <v>-2969.5</v>
      </c>
      <c r="G29" s="17">
        <f>-144.9-G28</f>
        <v>-101.1</v>
      </c>
      <c r="H29" s="17">
        <f>-820.1-H28</f>
        <v>0</v>
      </c>
      <c r="I29" s="17">
        <f>2886.4-I28</f>
        <v>-3070.6</v>
      </c>
      <c r="J29" s="17">
        <f>C29+E29+G29</f>
        <v>5942.2</v>
      </c>
      <c r="K29" s="17">
        <f>AVERAGE(J27:J29)</f>
        <v>5417.9</v>
      </c>
      <c r="L29" s="17"/>
      <c r="M29" s="17">
        <f>-I29+M28</f>
        <v>-8369.4</v>
      </c>
      <c r="N29" s="17"/>
      <c r="O29" s="17">
        <f>1+O28</f>
        <v>26</v>
      </c>
    </row>
    <row r="30" ht="20.05" customHeight="1">
      <c r="B30" s="30"/>
      <c r="C30" s="16">
        <f>20355.7-SUM(C28:C29)</f>
        <v>2987.5</v>
      </c>
      <c r="D30" s="17">
        <f>46594.2-SUM(D28:D29)</f>
        <v>6890.3</v>
      </c>
      <c r="E30" s="17">
        <f>-7578.7-SUM(E28:E29)</f>
        <v>-4544.4</v>
      </c>
      <c r="F30" s="17">
        <f>I30-H30-G30</f>
        <v>8132.1</v>
      </c>
      <c r="G30" s="17">
        <f>-112.7-SUM(G28:G29)</f>
        <v>32.2</v>
      </c>
      <c r="H30" s="17">
        <f>-820.1-128-SUM(H28:H29)</f>
        <v>-128</v>
      </c>
      <c r="I30" s="17">
        <f>10922.7-SUM(I28:I29)</f>
        <v>8036.3</v>
      </c>
      <c r="J30" s="17">
        <f>C30+E30+G30</f>
        <v>-1524.7</v>
      </c>
      <c r="K30" s="17">
        <f>AVERAGE(J28:J30)</f>
        <v>4221.433333333330</v>
      </c>
      <c r="L30" s="17"/>
      <c r="M30" s="17">
        <f>-I30+M29</f>
        <v>-16405.7</v>
      </c>
      <c r="N30" s="17"/>
      <c r="O30" s="17">
        <f>1+O29</f>
        <v>27</v>
      </c>
    </row>
    <row r="31" ht="20.05" customHeight="1">
      <c r="B31" s="30"/>
      <c r="C31" s="16">
        <f>29618.3-SUM(C28:C30)</f>
        <v>9262.6</v>
      </c>
      <c r="D31" s="17">
        <f>97479-SUM(D28:D30)</f>
        <v>50884.8</v>
      </c>
      <c r="E31" s="17">
        <f>-15656.3-SUM(E28:E30)</f>
        <v>-8077.6</v>
      </c>
      <c r="F31" s="17">
        <f>I31-H31-G31</f>
        <v>-8962.700000000001</v>
      </c>
      <c r="G31" s="17">
        <f>-354-SUM(G28:G30)</f>
        <v>-241.3</v>
      </c>
      <c r="H31" s="17">
        <f>-820.1-128-SUM(H28:H30)</f>
        <v>0</v>
      </c>
      <c r="I31" s="17">
        <f>1718.7-SUM(I28:I30)</f>
        <v>-9204</v>
      </c>
      <c r="J31" s="17">
        <f>C31+E31+G31</f>
        <v>943.7</v>
      </c>
      <c r="K31" s="17">
        <f>AVERAGE(J29:J31)</f>
        <v>1787.066666666670</v>
      </c>
      <c r="L31" s="17"/>
      <c r="M31" s="17">
        <f>-I31+M30</f>
        <v>-7201.7</v>
      </c>
      <c r="N31" s="17"/>
      <c r="O31" s="17">
        <f>1+O30</f>
        <v>28</v>
      </c>
    </row>
    <row r="32" ht="20.05" customHeight="1">
      <c r="B32" s="32">
        <v>2022</v>
      </c>
      <c r="C32" s="16">
        <v>8539.799999999999</v>
      </c>
      <c r="D32" s="17">
        <v>-62122.7</v>
      </c>
      <c r="E32" s="17">
        <v>-6583.2</v>
      </c>
      <c r="F32" s="17">
        <f>I32-H32-G32</f>
        <v>-507.6</v>
      </c>
      <c r="G32" s="17">
        <v>-48.8</v>
      </c>
      <c r="H32" s="17">
        <v>0</v>
      </c>
      <c r="I32" s="17">
        <v>-556.4</v>
      </c>
      <c r="J32" s="17">
        <f>C32+E32+G32</f>
        <v>1907.8</v>
      </c>
      <c r="K32" s="17">
        <f>AVERAGE(J30:J32)</f>
        <v>442.266666666667</v>
      </c>
      <c r="L32" s="17">
        <f>K32</f>
        <v>442.266666666667</v>
      </c>
      <c r="M32" s="17">
        <f>-I32+M31</f>
        <v>-6645.3</v>
      </c>
      <c r="N32" s="17">
        <f>M32</f>
        <v>-6645.3</v>
      </c>
      <c r="O32" s="17">
        <f>1+O31</f>
        <v>29</v>
      </c>
    </row>
    <row r="33" ht="24.9" customHeight="1">
      <c r="B33" s="30"/>
      <c r="C33" s="16"/>
      <c r="D33" s="17"/>
      <c r="E33" s="17"/>
      <c r="F33" s="17"/>
      <c r="G33" s="17"/>
      <c r="H33" s="17"/>
      <c r="I33" s="17"/>
      <c r="J33" s="38"/>
      <c r="K33" s="33"/>
      <c r="L33" s="17">
        <f>SUM('Model'!F9:F10)</f>
        <v>7404.6339416221</v>
      </c>
      <c r="M33" s="33"/>
      <c r="N33" s="17">
        <f>'Model'!F32</f>
        <v>-1106.431352963010</v>
      </c>
      <c r="O33" s="17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13281" style="39" customWidth="1"/>
    <col min="2" max="13" width="10.8828" style="39" customWidth="1"/>
    <col min="14" max="16384" width="16.3516" style="39" customWidth="1"/>
  </cols>
  <sheetData>
    <row r="1" ht="59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4.25" customHeight="1">
      <c r="B3" t="s" s="5">
        <v>1</v>
      </c>
      <c r="C3" t="s" s="5">
        <v>51</v>
      </c>
      <c r="D3" t="s" s="5">
        <v>52</v>
      </c>
      <c r="E3" t="s" s="5">
        <v>53</v>
      </c>
      <c r="F3" t="s" s="5">
        <v>54</v>
      </c>
      <c r="G3" t="s" s="5">
        <v>26</v>
      </c>
      <c r="H3" t="s" s="5">
        <v>27</v>
      </c>
      <c r="I3" t="s" s="5">
        <v>28</v>
      </c>
      <c r="J3" t="s" s="5">
        <v>55</v>
      </c>
      <c r="K3" t="s" s="5">
        <v>56</v>
      </c>
      <c r="L3" t="s" s="5">
        <v>57</v>
      </c>
      <c r="M3" t="s" s="5">
        <v>58</v>
      </c>
    </row>
    <row r="4" ht="21.1" customHeight="1">
      <c r="B4" s="24">
        <v>2015</v>
      </c>
      <c r="C4" s="40">
        <v>18512.9</v>
      </c>
      <c r="D4" s="41">
        <v>407215</v>
      </c>
      <c r="E4" s="41">
        <f>D4-C4</f>
        <v>388702.1</v>
      </c>
      <c r="F4" s="41">
        <f>187+6480+108+7084+8</f>
        <v>13867</v>
      </c>
      <c r="G4" s="41">
        <v>345353</v>
      </c>
      <c r="H4" s="41">
        <v>61862</v>
      </c>
      <c r="I4" s="41">
        <f>G4+H4-C4-E4</f>
        <v>0</v>
      </c>
      <c r="J4" s="42"/>
      <c r="K4" s="28"/>
      <c r="L4" s="26">
        <f>C4-G4</f>
        <v>-326840.1</v>
      </c>
      <c r="M4" s="26"/>
    </row>
    <row r="5" ht="21.1" customHeight="1">
      <c r="B5" s="30"/>
      <c r="C5" s="12">
        <v>34543.1</v>
      </c>
      <c r="D5" s="13">
        <v>430966</v>
      </c>
      <c r="E5" s="13">
        <f>D5-C5</f>
        <v>396422.9</v>
      </c>
      <c r="F5" s="13">
        <f>23+11263+83+6632+187</f>
        <v>18188</v>
      </c>
      <c r="G5" s="13">
        <v>369907</v>
      </c>
      <c r="H5" s="13">
        <v>61059</v>
      </c>
      <c r="I5" s="13">
        <f>G5+H5-C5-E5</f>
        <v>0</v>
      </c>
      <c r="J5" s="31">
        <f>E5/E4-1</f>
        <v>0.0198630262095317</v>
      </c>
      <c r="K5" s="31">
        <f>G5/G4-1</f>
        <v>0.071098267569704</v>
      </c>
      <c r="L5" s="17">
        <f>C5-G5</f>
        <v>-335363.9</v>
      </c>
      <c r="M5" s="17"/>
    </row>
    <row r="6" ht="21.1" customHeight="1">
      <c r="B6" s="30"/>
      <c r="C6" s="12">
        <v>33431.7</v>
      </c>
      <c r="D6" s="13">
        <v>456463</v>
      </c>
      <c r="E6" s="13">
        <f>D6-C6</f>
        <v>423031.3</v>
      </c>
      <c r="F6" s="13">
        <f>188+6828+97+11482+48</f>
        <v>18643</v>
      </c>
      <c r="G6" s="13">
        <v>392825</v>
      </c>
      <c r="H6" s="13">
        <v>63638</v>
      </c>
      <c r="I6" s="13">
        <f>G6+H6-C6-E6</f>
        <v>0</v>
      </c>
      <c r="J6" s="31">
        <f>E6/E5-1</f>
        <v>0.0671212485454296</v>
      </c>
      <c r="K6" s="31">
        <f>G6/G5-1</f>
        <v>0.0619561132933413</v>
      </c>
      <c r="L6" s="17">
        <f>C6-G6</f>
        <v>-359393.3</v>
      </c>
      <c r="M6" s="17"/>
    </row>
    <row r="7" ht="21.1" customHeight="1">
      <c r="B7" s="30"/>
      <c r="C7" s="12">
        <v>47314.8</v>
      </c>
      <c r="D7" s="13">
        <v>508595</v>
      </c>
      <c r="E7" s="13">
        <f>D7-C7</f>
        <v>461280.2</v>
      </c>
      <c r="F7" s="13">
        <f>187+5592+131+11681+36</f>
        <v>17627</v>
      </c>
      <c r="G7" s="13">
        <v>430157</v>
      </c>
      <c r="H7" s="13">
        <v>78438</v>
      </c>
      <c r="I7" s="13">
        <f>G7+H7-C7-E7</f>
        <v>0</v>
      </c>
      <c r="J7" s="31">
        <f>E7/E6-1</f>
        <v>0.09041624106774129</v>
      </c>
      <c r="K7" s="31">
        <f>G7/G6-1</f>
        <v>0.0950346846560173</v>
      </c>
      <c r="L7" s="17">
        <f>C7-G7</f>
        <v>-382842.2</v>
      </c>
      <c r="M7" s="17"/>
    </row>
    <row r="8" ht="21.1" customHeight="1">
      <c r="B8" s="32">
        <v>2016</v>
      </c>
      <c r="C8" s="12">
        <v>31819.5</v>
      </c>
      <c r="D8" s="13">
        <v>509089</v>
      </c>
      <c r="E8" s="13">
        <f>D8-C8</f>
        <v>477269.5</v>
      </c>
      <c r="F8" s="13">
        <f>236+5790+252+12489+15</f>
        <v>18782</v>
      </c>
      <c r="G8" s="13">
        <v>428845</v>
      </c>
      <c r="H8" s="13">
        <v>80244</v>
      </c>
      <c r="I8" s="13">
        <f>G8+H8-C8-E8</f>
        <v>0</v>
      </c>
      <c r="J8" s="31">
        <f>E8/E7-1</f>
        <v>0.0346628795252864</v>
      </c>
      <c r="K8" s="31">
        <f>G8/G7-1</f>
        <v>-0.00305004916809444</v>
      </c>
      <c r="L8" s="17">
        <f>C8-G8</f>
        <v>-397025.5</v>
      </c>
      <c r="M8" s="17"/>
    </row>
    <row r="9" ht="20.9" customHeight="1">
      <c r="B9" s="30"/>
      <c r="C9" s="12">
        <v>29166</v>
      </c>
      <c r="D9" s="13">
        <v>539140</v>
      </c>
      <c r="E9" s="13">
        <f>D9-C9</f>
        <v>509974</v>
      </c>
      <c r="F9" s="13">
        <f>186+6012+188+14265+4</f>
        <v>20655</v>
      </c>
      <c r="G9" s="13">
        <v>456014</v>
      </c>
      <c r="H9" s="13">
        <v>83126</v>
      </c>
      <c r="I9" s="13">
        <f>G9+H9-C9-E9</f>
        <v>0</v>
      </c>
      <c r="J9" s="31">
        <f>E9/E8-1</f>
        <v>0.0685241776396774</v>
      </c>
      <c r="K9" s="31">
        <f>G9/G8-1</f>
        <v>0.0633538924319976</v>
      </c>
      <c r="L9" s="17">
        <f>C9-G9</f>
        <v>-426848</v>
      </c>
      <c r="M9" s="17"/>
    </row>
    <row r="10" ht="20.9" customHeight="1">
      <c r="B10" s="30"/>
      <c r="C10" s="12">
        <v>49353.3</v>
      </c>
      <c r="D10" s="13">
        <v>571509</v>
      </c>
      <c r="E10" s="13">
        <f>D10-C10</f>
        <v>522155.7</v>
      </c>
      <c r="F10" s="13">
        <f>236+6235+185+15790+7</f>
        <v>22453</v>
      </c>
      <c r="G10" s="13">
        <v>484572</v>
      </c>
      <c r="H10" s="13">
        <v>86937</v>
      </c>
      <c r="I10" s="13">
        <f>G10+H10-C10-E10</f>
        <v>0</v>
      </c>
      <c r="J10" s="31">
        <f>E10/E9-1</f>
        <v>0.0238869040382451</v>
      </c>
      <c r="K10" s="31">
        <f>G10/G9-1</f>
        <v>0.0626252702767897</v>
      </c>
      <c r="L10" s="17">
        <f>C10-G10</f>
        <v>-435218.7</v>
      </c>
      <c r="M10" s="17"/>
    </row>
    <row r="11" ht="20.9" customHeight="1">
      <c r="B11" s="30"/>
      <c r="C11" s="12">
        <v>41974.1</v>
      </c>
      <c r="D11" s="13">
        <v>603032</v>
      </c>
      <c r="E11" s="13">
        <f>D11-C11</f>
        <v>561057.9</v>
      </c>
      <c r="F11" s="13">
        <f>6453+16681+85+31+91+1+2</f>
        <v>23344</v>
      </c>
      <c r="G11" s="13">
        <v>513778</v>
      </c>
      <c r="H11" s="13">
        <v>89254</v>
      </c>
      <c r="I11" s="13">
        <f>G11+H11-C11-E11</f>
        <v>0</v>
      </c>
      <c r="J11" s="31">
        <f>E11/E10-1</f>
        <v>0.0745030648904149</v>
      </c>
      <c r="K11" s="31">
        <f>G11/G10-1</f>
        <v>0.0602717449625649</v>
      </c>
      <c r="L11" s="17">
        <f>C11-G11</f>
        <v>-471803.9</v>
      </c>
      <c r="M11" s="17"/>
    </row>
    <row r="12" ht="20.9" customHeight="1">
      <c r="B12" s="32">
        <v>2017</v>
      </c>
      <c r="C12" s="12">
        <v>45116.07</v>
      </c>
      <c r="D12" s="13">
        <v>618813</v>
      </c>
      <c r="E12" s="13">
        <f>D12-C12</f>
        <v>573696.9300000001</v>
      </c>
      <c r="F12" s="13">
        <f>6683+17362+87+48+331+1</f>
        <v>24512</v>
      </c>
      <c r="G12" s="13">
        <v>529333</v>
      </c>
      <c r="H12" s="13">
        <v>89480</v>
      </c>
      <c r="I12" s="13">
        <f>G12+H12-C12-E12</f>
        <v>0</v>
      </c>
      <c r="J12" s="31">
        <f>E12/E11-1</f>
        <v>0.0225271402470226</v>
      </c>
      <c r="K12" s="31">
        <f>G12/G11-1</f>
        <v>0.0302757221990821</v>
      </c>
      <c r="L12" s="17">
        <f>C12-G12</f>
        <v>-484216.93</v>
      </c>
      <c r="M12" s="17"/>
    </row>
    <row r="13" ht="20.9" customHeight="1">
      <c r="B13" s="30"/>
      <c r="C13" s="12">
        <v>43186.5</v>
      </c>
      <c r="D13" s="13">
        <v>631741</v>
      </c>
      <c r="E13" s="13">
        <f>D13-C13</f>
        <v>588554.5</v>
      </c>
      <c r="F13" s="13">
        <f>6925+7+16835+87+54+322+6</f>
        <v>24236</v>
      </c>
      <c r="G13" s="13">
        <v>538668</v>
      </c>
      <c r="H13" s="13">
        <v>93073</v>
      </c>
      <c r="I13" s="13">
        <f>G13+H13-C13-E13</f>
        <v>0</v>
      </c>
      <c r="J13" s="31">
        <f>E13/E12-1</f>
        <v>0.025897942315989</v>
      </c>
      <c r="K13" s="31">
        <f>G13/G12-1</f>
        <v>0.0176354015336282</v>
      </c>
      <c r="L13" s="17">
        <f>C13-G13</f>
        <v>-495481.5</v>
      </c>
      <c r="M13" s="17"/>
    </row>
    <row r="14" ht="20.9" customHeight="1">
      <c r="B14" s="30"/>
      <c r="C14" s="12">
        <v>50571.8</v>
      </c>
      <c r="D14" s="13">
        <v>668207</v>
      </c>
      <c r="E14" s="13">
        <f>D14-C14</f>
        <v>617635.2</v>
      </c>
      <c r="F14" s="13">
        <f>7187+7+16777+125+54+306+6</f>
        <v>24462</v>
      </c>
      <c r="G14" s="13">
        <v>570900</v>
      </c>
      <c r="H14" s="13">
        <v>97307</v>
      </c>
      <c r="I14" s="13">
        <f>G14+H14-C14-E14</f>
        <v>0</v>
      </c>
      <c r="J14" s="31">
        <f>E14/E13-1</f>
        <v>0.0494103774586721</v>
      </c>
      <c r="K14" s="31">
        <f>G14/G13-1</f>
        <v>0.0598364855532536</v>
      </c>
      <c r="L14" s="17">
        <f>C14-G14</f>
        <v>-520328.2</v>
      </c>
      <c r="M14" s="17"/>
    </row>
    <row r="15" ht="20.9" customHeight="1">
      <c r="B15" s="30"/>
      <c r="C15" s="12">
        <v>55571</v>
      </c>
      <c r="D15" s="13">
        <v>709330</v>
      </c>
      <c r="E15" s="13">
        <f>D15-C15</f>
        <v>653759</v>
      </c>
      <c r="F15" s="13">
        <f>7400+72+14524+165+98+309+1+3</f>
        <v>22572</v>
      </c>
      <c r="G15" s="13">
        <v>608427</v>
      </c>
      <c r="H15" s="13">
        <v>100903</v>
      </c>
      <c r="I15" s="13">
        <f>G15+H15-C15-E15</f>
        <v>0</v>
      </c>
      <c r="J15" s="31">
        <f>E15/E14-1</f>
        <v>0.0584872753366388</v>
      </c>
      <c r="K15" s="31">
        <f>G15/G14-1</f>
        <v>0.06573305307409349</v>
      </c>
      <c r="L15" s="17">
        <f>C15-G15</f>
        <v>-552856</v>
      </c>
      <c r="M15" s="17"/>
    </row>
    <row r="16" ht="20.9" customHeight="1">
      <c r="B16" s="32">
        <v>2018</v>
      </c>
      <c r="C16" s="12">
        <v>31776.34</v>
      </c>
      <c r="D16" s="13">
        <v>699900</v>
      </c>
      <c r="E16" s="13">
        <f>D16-C16</f>
        <v>668123.66</v>
      </c>
      <c r="F16" s="13">
        <f>7650+72+14553+148+110+319+6</f>
        <v>22858</v>
      </c>
      <c r="G16" s="13">
        <v>600788</v>
      </c>
      <c r="H16" s="13">
        <v>99112</v>
      </c>
      <c r="I16" s="13">
        <f>G16+H16-C16-E16</f>
        <v>0</v>
      </c>
      <c r="J16" s="31">
        <f>E16/E15-1</f>
        <v>0.0219724087928426</v>
      </c>
      <c r="K16" s="31">
        <f>G16/G15-1</f>
        <v>-0.0125553270975811</v>
      </c>
      <c r="L16" s="17">
        <f>C16-G16</f>
        <v>-569011.66</v>
      </c>
      <c r="M16" s="17">
        <f>-L16</f>
        <v>569011.66</v>
      </c>
    </row>
    <row r="17" ht="20.9" customHeight="1">
      <c r="B17" s="30"/>
      <c r="C17" s="12">
        <v>53923.8</v>
      </c>
      <c r="D17" s="13">
        <v>734189</v>
      </c>
      <c r="E17" s="13">
        <f>D17-C17</f>
        <v>680265.2</v>
      </c>
      <c r="F17" s="13">
        <f>7934+72+14368+127+99+315+4</f>
        <v>22919</v>
      </c>
      <c r="G17" s="13">
        <v>633833</v>
      </c>
      <c r="H17" s="13">
        <v>100356</v>
      </c>
      <c r="I17" s="13">
        <f>G17+H17-C17-E17</f>
        <v>0</v>
      </c>
      <c r="J17" s="31">
        <f>E17/E16-1</f>
        <v>0.0181725939775879</v>
      </c>
      <c r="K17" s="31">
        <f>G17/G16-1</f>
        <v>0.0550027630378769</v>
      </c>
      <c r="L17" s="17">
        <f>C17-G17</f>
        <v>-579909.2</v>
      </c>
      <c r="M17" s="17">
        <f>-L17</f>
        <v>579909.2</v>
      </c>
    </row>
    <row r="18" ht="20.9" customHeight="1">
      <c r="B18" s="30"/>
      <c r="C18" s="12">
        <v>48666.3</v>
      </c>
      <c r="D18" s="13">
        <v>763524</v>
      </c>
      <c r="E18" s="13">
        <f>D18-C18</f>
        <v>714857.7</v>
      </c>
      <c r="F18" s="13">
        <f>8228+72+14804+129+102+308+2</f>
        <v>23645</v>
      </c>
      <c r="G18" s="13">
        <v>659504</v>
      </c>
      <c r="H18" s="13">
        <v>104020</v>
      </c>
      <c r="I18" s="13">
        <f>G18+H18-C18-E18</f>
        <v>0</v>
      </c>
      <c r="J18" s="31">
        <f>E18/E17-1</f>
        <v>0.0508514914477471</v>
      </c>
      <c r="K18" s="31">
        <f>G18/G17-1</f>
        <v>0.0405012045759687</v>
      </c>
      <c r="L18" s="17">
        <f>C18-G18</f>
        <v>-610837.7</v>
      </c>
      <c r="M18" s="17">
        <f>-L18</f>
        <v>610837.7</v>
      </c>
    </row>
    <row r="19" ht="20.9" customHeight="1">
      <c r="B19" s="30"/>
      <c r="C19" s="12">
        <v>62294</v>
      </c>
      <c r="D19" s="13">
        <v>808572</v>
      </c>
      <c r="E19" s="13">
        <f>D19-C19</f>
        <v>746278</v>
      </c>
      <c r="F19" s="13">
        <f>7882+181+14892+180+158+318+3</f>
        <v>23614</v>
      </c>
      <c r="G19" s="13">
        <v>698198</v>
      </c>
      <c r="H19" s="13">
        <v>110374</v>
      </c>
      <c r="I19" s="13">
        <f>G19+H19-C19-E19</f>
        <v>0</v>
      </c>
      <c r="J19" s="31">
        <f>E19/E18-1</f>
        <v>0.0439532231379756</v>
      </c>
      <c r="K19" s="31">
        <f>G19/G18-1</f>
        <v>0.0586713651471409</v>
      </c>
      <c r="L19" s="17">
        <f>C19-G19</f>
        <v>-635904</v>
      </c>
      <c r="M19" s="17">
        <f>-L19</f>
        <v>635904</v>
      </c>
    </row>
    <row r="20" ht="20.9" customHeight="1">
      <c r="B20" s="32">
        <v>2019</v>
      </c>
      <c r="C20" s="12">
        <v>44725.13</v>
      </c>
      <c r="D20" s="13">
        <v>800564</v>
      </c>
      <c r="E20" s="13">
        <f>D20-C20</f>
        <v>755838.87</v>
      </c>
      <c r="F20" s="13">
        <f>8186+181+14963+165+146+305+33</f>
        <v>23979</v>
      </c>
      <c r="G20" s="13">
        <v>684722</v>
      </c>
      <c r="H20" s="13">
        <v>115842</v>
      </c>
      <c r="I20" s="13">
        <f>G20+H20-C20-E20</f>
        <v>0</v>
      </c>
      <c r="J20" s="31">
        <f>E20/E19-1</f>
        <v>0.0128114054012044</v>
      </c>
      <c r="K20" s="31">
        <f>G20/G19-1</f>
        <v>-0.0193011151564456</v>
      </c>
      <c r="L20" s="17">
        <f>C20-G20</f>
        <v>-639996.87</v>
      </c>
      <c r="M20" s="17">
        <f>-L20</f>
        <v>639996.87</v>
      </c>
    </row>
    <row r="21" ht="20.9" customHeight="1">
      <c r="B21" s="30"/>
      <c r="C21" s="12">
        <v>70213</v>
      </c>
      <c r="D21" s="13">
        <v>843214</v>
      </c>
      <c r="E21" s="13">
        <f>D21-C21</f>
        <v>773001</v>
      </c>
      <c r="F21" s="13">
        <f>8476+244+15007+149+135+302+4</f>
        <v>24317</v>
      </c>
      <c r="G21" s="13">
        <v>726504</v>
      </c>
      <c r="H21" s="13">
        <v>116710</v>
      </c>
      <c r="I21" s="13">
        <f>G21+H21-C21-E21</f>
        <v>0</v>
      </c>
      <c r="J21" s="31">
        <f>E21/E20-1</f>
        <v>0.0227060696150755</v>
      </c>
      <c r="K21" s="31">
        <f>G21/G20-1</f>
        <v>0.0610203849153379</v>
      </c>
      <c r="L21" s="17">
        <f>C21-G21</f>
        <v>-656291</v>
      </c>
      <c r="M21" s="17">
        <f>-L21</f>
        <v>656291</v>
      </c>
    </row>
    <row r="22" ht="20.9" customHeight="1">
      <c r="B22" s="30"/>
      <c r="C22" s="12">
        <v>44676</v>
      </c>
      <c r="D22" s="13">
        <v>815265</v>
      </c>
      <c r="E22" s="13">
        <f>D22-C22</f>
        <v>770589</v>
      </c>
      <c r="F22" s="13">
        <f>8851+435+16004+167+141+297+8</f>
        <v>25903</v>
      </c>
      <c r="G22" s="13">
        <v>693991</v>
      </c>
      <c r="H22" s="13">
        <v>121274</v>
      </c>
      <c r="I22" s="13">
        <f>G22+H22-C22-E22</f>
        <v>0</v>
      </c>
      <c r="J22" s="31">
        <f>E22/E21-1</f>
        <v>-0.00312030644203565</v>
      </c>
      <c r="K22" s="31">
        <f>G22/G21-1</f>
        <v>-0.0447526785812604</v>
      </c>
      <c r="L22" s="17">
        <f>C22-G22</f>
        <v>-649315</v>
      </c>
      <c r="M22" s="17">
        <f>-L22</f>
        <v>649315</v>
      </c>
    </row>
    <row r="23" ht="20.9" customHeight="1">
      <c r="B23" s="30"/>
      <c r="C23" s="12">
        <v>44676</v>
      </c>
      <c r="D23" s="13">
        <v>845605</v>
      </c>
      <c r="E23" s="13">
        <f>D23-C23</f>
        <v>800929</v>
      </c>
      <c r="F23" s="13">
        <f>9137+16909+560+142+285+2</f>
        <v>27035</v>
      </c>
      <c r="G23" s="13">
        <v>720601</v>
      </c>
      <c r="H23" s="13">
        <v>125004</v>
      </c>
      <c r="I23" s="13">
        <f>G23+H23-C23-E23</f>
        <v>0</v>
      </c>
      <c r="J23" s="31">
        <f>E23/E22-1</f>
        <v>0.0393724800120427</v>
      </c>
      <c r="K23" s="31">
        <f>G23/G22-1</f>
        <v>0.0383434367304475</v>
      </c>
      <c r="L23" s="17">
        <f>C23-G23</f>
        <v>-675925</v>
      </c>
      <c r="M23" s="17">
        <f>-L23</f>
        <v>675925</v>
      </c>
    </row>
    <row r="24" ht="20.9" customHeight="1">
      <c r="B24" s="32">
        <v>2020</v>
      </c>
      <c r="C24" s="12">
        <v>73372.72</v>
      </c>
      <c r="D24" s="13">
        <v>868448</v>
      </c>
      <c r="E24" s="13">
        <f>D24-C24</f>
        <v>795075.28</v>
      </c>
      <c r="F24" s="13">
        <f>9688+462+2+32687+1170+88+275+10</f>
        <v>44382</v>
      </c>
      <c r="G24" s="13">
        <v>758607</v>
      </c>
      <c r="H24" s="13">
        <v>109841</v>
      </c>
      <c r="I24" s="13">
        <f>G24+H24-C24-E24</f>
        <v>0</v>
      </c>
      <c r="J24" s="31">
        <f>E24/E23-1</f>
        <v>-0.00730866281530573</v>
      </c>
      <c r="K24" s="31">
        <f>G24/G23-1</f>
        <v>0.0527420861197806</v>
      </c>
      <c r="L24" s="17">
        <f>C24-G24</f>
        <v>-685234.28</v>
      </c>
      <c r="M24" s="17">
        <f>-L24</f>
        <v>685234.28</v>
      </c>
    </row>
    <row r="25" ht="20.9" customHeight="1">
      <c r="B25" s="30"/>
      <c r="C25" s="12">
        <v>65691</v>
      </c>
      <c r="D25" s="13">
        <v>880124</v>
      </c>
      <c r="E25" s="13">
        <f>D25-C25</f>
        <v>814433</v>
      </c>
      <c r="F25" s="13">
        <f>10099+2+36542+724+77+250+1+5</f>
        <v>47700</v>
      </c>
      <c r="G25" s="13">
        <v>767764</v>
      </c>
      <c r="H25" s="13">
        <v>112360</v>
      </c>
      <c r="I25" s="13">
        <f>G25+H25-C25-E25</f>
        <v>0</v>
      </c>
      <c r="J25" s="31">
        <f>E25/E24-1</f>
        <v>0.0243470278688579</v>
      </c>
      <c r="K25" s="31">
        <f>G25/G24-1</f>
        <v>0.0120708087323212</v>
      </c>
      <c r="L25" s="17">
        <f>C25-G25</f>
        <v>-702073</v>
      </c>
      <c r="M25" s="17">
        <f>-L25</f>
        <v>702073</v>
      </c>
    </row>
    <row r="26" ht="20.9" customHeight="1">
      <c r="B26" s="30"/>
      <c r="C26" s="12">
        <v>90300</v>
      </c>
      <c r="D26" s="13">
        <v>916954</v>
      </c>
      <c r="E26" s="13">
        <f>D26-C26</f>
        <v>826654</v>
      </c>
      <c r="F26" s="17">
        <f>10565+2+41702+711+77+265+10</f>
        <v>53332</v>
      </c>
      <c r="G26" s="13">
        <v>804019</v>
      </c>
      <c r="H26" s="13">
        <v>112935</v>
      </c>
      <c r="I26" s="13">
        <f>G26+H26-C26-E26</f>
        <v>0</v>
      </c>
      <c r="J26" s="31">
        <f>E26/E25-1</f>
        <v>0.0150055314556262</v>
      </c>
      <c r="K26" s="31">
        <f>G26/G25-1</f>
        <v>0.0472215420363549</v>
      </c>
      <c r="L26" s="17">
        <f>C26-G26</f>
        <v>-713719</v>
      </c>
      <c r="M26" s="17">
        <f>-L26</f>
        <v>713719</v>
      </c>
    </row>
    <row r="27" ht="20.9" customHeight="1">
      <c r="B27" s="30"/>
      <c r="C27" s="12">
        <v>89798.600000000006</v>
      </c>
      <c r="D27" s="13">
        <v>891337</v>
      </c>
      <c r="E27" s="13">
        <f>D27-C27</f>
        <v>801538.4</v>
      </c>
      <c r="F27" s="17">
        <f>6+260+123+1199+44228+2+11596</f>
        <v>57414</v>
      </c>
      <c r="G27" s="13">
        <v>778465</v>
      </c>
      <c r="H27" s="13">
        <v>112872</v>
      </c>
      <c r="I27" s="13">
        <f>G27+H27-C27-E27</f>
        <v>0</v>
      </c>
      <c r="J27" s="31">
        <f>E27/E26-1</f>
        <v>-0.0303822397278668</v>
      </c>
      <c r="K27" s="31">
        <f>G27/G26-1</f>
        <v>-0.0317828310027499</v>
      </c>
      <c r="L27" s="17">
        <f>C27-G27</f>
        <v>-688666.4</v>
      </c>
      <c r="M27" s="17">
        <f>-L27</f>
        <v>688666.4</v>
      </c>
    </row>
    <row r="28" ht="20.9" customHeight="1">
      <c r="B28" s="32">
        <v>2021</v>
      </c>
      <c r="C28" s="12">
        <v>78411.399999999994</v>
      </c>
      <c r="D28" s="13">
        <v>862441</v>
      </c>
      <c r="E28" s="13">
        <f>D28-C28</f>
        <v>784029.6</v>
      </c>
      <c r="F28" s="17">
        <f>11685+2+46232+674+352+254</f>
        <v>59199</v>
      </c>
      <c r="G28" s="17">
        <v>744704</v>
      </c>
      <c r="H28" s="13">
        <v>117737</v>
      </c>
      <c r="I28" s="17">
        <f>G28+H28-C28-E28</f>
        <v>0</v>
      </c>
      <c r="J28" s="31">
        <f>E28/E27-1</f>
        <v>-0.0218439939995389</v>
      </c>
      <c r="K28" s="31">
        <f>G28/G27-1</f>
        <v>-0.0433686806728626</v>
      </c>
      <c r="L28" s="17">
        <f>C28-G28</f>
        <v>-666292.6</v>
      </c>
      <c r="M28" s="17">
        <f>-L28</f>
        <v>666292.6</v>
      </c>
    </row>
    <row r="29" ht="20.9" customHeight="1">
      <c r="B29" s="30"/>
      <c r="C29" s="12">
        <v>129354.6</v>
      </c>
      <c r="D29" s="13">
        <v>875138</v>
      </c>
      <c r="E29" s="13">
        <f>D29-C29</f>
        <v>745783.4</v>
      </c>
      <c r="F29" s="17">
        <f>12139+2+48389+1096+86+253</f>
        <v>61965</v>
      </c>
      <c r="G29" s="17">
        <v>756096</v>
      </c>
      <c r="H29" s="13">
        <v>119042</v>
      </c>
      <c r="I29" s="17">
        <f>G29+H29-C29-E29</f>
        <v>0</v>
      </c>
      <c r="J29" s="31">
        <f>E29/E28-1</f>
        <v>-0.0487815766139442</v>
      </c>
      <c r="K29" s="31">
        <f>G29/G28-1</f>
        <v>0.0152973530422826</v>
      </c>
      <c r="L29" s="17">
        <f>C29-G29</f>
        <v>-626741.4</v>
      </c>
      <c r="M29" s="17">
        <f>-L29</f>
        <v>626741.4</v>
      </c>
    </row>
    <row r="30" ht="20.9" customHeight="1">
      <c r="B30" s="30"/>
      <c r="C30" s="12">
        <v>139736.8</v>
      </c>
      <c r="D30" s="13">
        <v>919448</v>
      </c>
      <c r="E30" s="13">
        <f>D30-C30</f>
        <v>779711.2</v>
      </c>
      <c r="F30" s="17">
        <f>258+49365+1734+12574</f>
        <v>63931</v>
      </c>
      <c r="G30" s="17">
        <v>802126</v>
      </c>
      <c r="H30" s="13">
        <v>117322</v>
      </c>
      <c r="I30" s="17">
        <f>G30+H30-C30-E30</f>
        <v>0</v>
      </c>
      <c r="J30" s="31">
        <f>E30/E29-1</f>
        <v>0.0454928334419887</v>
      </c>
      <c r="K30" s="31">
        <f>G30/G29-1</f>
        <v>0.0608785127814457</v>
      </c>
      <c r="L30" s="17">
        <f>C30-G30</f>
        <v>-662389.2</v>
      </c>
      <c r="M30" s="17">
        <f>-L30</f>
        <v>662389.2</v>
      </c>
    </row>
    <row r="31" ht="20.9" customHeight="1">
      <c r="B31" s="30"/>
      <c r="C31" s="12">
        <v>173340</v>
      </c>
      <c r="D31" s="13">
        <v>964838</v>
      </c>
      <c r="E31" s="13">
        <f>D31-C31</f>
        <v>791498</v>
      </c>
      <c r="F31" s="17">
        <f>12952+2+50295+1015+403+250</f>
        <v>64917</v>
      </c>
      <c r="G31" s="17">
        <v>838318</v>
      </c>
      <c r="H31" s="13">
        <v>126520</v>
      </c>
      <c r="I31" s="17">
        <f>G31+H31-C31-E31</f>
        <v>0</v>
      </c>
      <c r="J31" s="31">
        <f>E31/E30-1</f>
        <v>0.0151168791726988</v>
      </c>
      <c r="K31" s="31">
        <f>G31/G30-1</f>
        <v>0.0451200933519173</v>
      </c>
      <c r="L31" s="17">
        <f>C31-G31</f>
        <v>-664978</v>
      </c>
      <c r="M31" s="17">
        <f>-L31</f>
        <v>664978</v>
      </c>
    </row>
    <row r="32" ht="20.9" customHeight="1">
      <c r="B32" s="32">
        <v>2022</v>
      </c>
      <c r="C32" s="12">
        <f>C31+'Cashflow'!D32+'Cashflow'!E32+'Cashflow'!I32</f>
        <v>104077.7</v>
      </c>
      <c r="D32" s="13">
        <v>931983</v>
      </c>
      <c r="E32" s="13">
        <f>D32-C32</f>
        <v>827905.3</v>
      </c>
      <c r="F32" s="17">
        <f>13196+2+51248+1423+317+249</f>
        <v>66435</v>
      </c>
      <c r="G32" s="17">
        <v>803443</v>
      </c>
      <c r="H32" s="13">
        <v>128540</v>
      </c>
      <c r="I32" s="17">
        <f>G32+H32-C32-E32</f>
        <v>0</v>
      </c>
      <c r="J32" s="31">
        <f>E32/E31-1</f>
        <v>0.0459979684092695</v>
      </c>
      <c r="K32" s="31">
        <f>G32/G31-1</f>
        <v>-0.0416011585102551</v>
      </c>
      <c r="L32" s="17">
        <f>C32-G32</f>
        <v>-699365.3</v>
      </c>
      <c r="M32" s="17">
        <f>-L32</f>
        <v>699365.3</v>
      </c>
    </row>
    <row r="33" ht="20.9" customHeight="1">
      <c r="B33" s="30"/>
      <c r="C33" s="12"/>
      <c r="D33" s="13"/>
      <c r="E33" s="13"/>
      <c r="F33" s="17"/>
      <c r="G33" s="17"/>
      <c r="H33" s="13"/>
      <c r="I33" s="33"/>
      <c r="J33" s="31"/>
      <c r="K33" s="31"/>
      <c r="L33" s="31"/>
      <c r="M33" s="31"/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3281" style="43" customWidth="1"/>
    <col min="2" max="2" width="6.86719" style="43" customWidth="1"/>
    <col min="3" max="5" width="8.32031" style="43" customWidth="1"/>
    <col min="6" max="16384" width="16.3516" style="43" customWidth="1"/>
  </cols>
  <sheetData>
    <row r="1" ht="39.4" customHeight="1"/>
    <row r="2" ht="27.65" customHeight="1">
      <c r="B2" t="s" s="2">
        <v>59</v>
      </c>
      <c r="C2" s="2"/>
      <c r="D2" s="2"/>
      <c r="E2" s="2"/>
    </row>
    <row r="3" ht="20.25" customHeight="1">
      <c r="B3" s="4"/>
      <c r="C3" t="s" s="44">
        <v>60</v>
      </c>
      <c r="D3" t="s" s="45">
        <v>61</v>
      </c>
      <c r="E3" s="46"/>
    </row>
    <row r="4" ht="20.25" customHeight="1">
      <c r="B4" s="24">
        <v>2018</v>
      </c>
      <c r="C4" s="47">
        <v>8675</v>
      </c>
      <c r="D4" s="48"/>
      <c r="E4" s="48"/>
    </row>
    <row r="5" ht="20.05" customHeight="1">
      <c r="B5" s="30"/>
      <c r="C5" s="49">
        <v>7050</v>
      </c>
      <c r="D5" s="48"/>
      <c r="E5" s="48"/>
    </row>
    <row r="6" ht="20.05" customHeight="1">
      <c r="B6" s="30"/>
      <c r="C6" s="49">
        <v>7400</v>
      </c>
      <c r="D6" s="48"/>
      <c r="E6" s="48"/>
    </row>
    <row r="7" ht="20.05" customHeight="1">
      <c r="B7" s="30"/>
      <c r="C7" s="49">
        <v>8800</v>
      </c>
      <c r="D7" s="48"/>
      <c r="E7" s="48"/>
    </row>
    <row r="8" ht="20.05" customHeight="1">
      <c r="B8" s="32">
        <v>2019</v>
      </c>
      <c r="C8" s="49">
        <v>9400</v>
      </c>
      <c r="D8" s="48"/>
      <c r="E8" s="48"/>
    </row>
    <row r="9" ht="20.05" customHeight="1">
      <c r="B9" s="30"/>
      <c r="C9" s="49">
        <v>9200</v>
      </c>
      <c r="D9" s="48"/>
      <c r="E9" s="48"/>
    </row>
    <row r="10" ht="20.05" customHeight="1">
      <c r="B10" s="30"/>
      <c r="C10" s="49">
        <v>7350</v>
      </c>
      <c r="D10" s="48"/>
      <c r="E10" s="48"/>
    </row>
    <row r="11" ht="20.05" customHeight="1">
      <c r="B11" s="30"/>
      <c r="C11" s="50">
        <v>7850</v>
      </c>
      <c r="D11" s="51"/>
      <c r="E11" s="51"/>
    </row>
    <row r="12" ht="20.05" customHeight="1">
      <c r="B12" s="32">
        <v>2020</v>
      </c>
      <c r="C12" s="50">
        <v>3820</v>
      </c>
      <c r="D12" s="33"/>
      <c r="E12" s="33"/>
    </row>
    <row r="13" ht="20.05" customHeight="1">
      <c r="B13" s="30"/>
      <c r="C13" s="50">
        <v>4580</v>
      </c>
      <c r="D13" s="33"/>
      <c r="E13" s="33"/>
    </row>
    <row r="14" ht="20.05" customHeight="1">
      <c r="B14" s="30"/>
      <c r="C14" s="16">
        <v>4440</v>
      </c>
      <c r="D14" s="33"/>
      <c r="E14" s="33"/>
    </row>
    <row r="15" ht="20.05" customHeight="1">
      <c r="B15" s="30"/>
      <c r="C15" s="16">
        <v>6175</v>
      </c>
      <c r="D15" s="33"/>
      <c r="E15" s="33"/>
    </row>
    <row r="16" ht="20.05" customHeight="1">
      <c r="B16" s="32">
        <v>2021</v>
      </c>
      <c r="C16" s="16">
        <v>5725</v>
      </c>
      <c r="D16" s="33"/>
      <c r="E16" s="33"/>
    </row>
    <row r="17" ht="20.05" customHeight="1">
      <c r="B17" s="30"/>
      <c r="C17" s="16">
        <v>4630</v>
      </c>
      <c r="D17" s="33"/>
      <c r="E17" s="33"/>
    </row>
    <row r="18" ht="20.05" customHeight="1">
      <c r="B18" s="30"/>
      <c r="C18" s="16">
        <v>5350</v>
      </c>
      <c r="D18" s="33"/>
      <c r="E18" s="33"/>
    </row>
    <row r="19" ht="20.05" customHeight="1">
      <c r="B19" s="30"/>
      <c r="C19" s="16">
        <v>6725</v>
      </c>
      <c r="D19" s="33"/>
      <c r="E19" s="17">
        <v>12404.8328702953</v>
      </c>
    </row>
    <row r="20" ht="20.05" customHeight="1">
      <c r="B20" s="32">
        <v>2022</v>
      </c>
      <c r="C20" s="16">
        <v>8250</v>
      </c>
      <c r="D20" s="33"/>
      <c r="E20" s="17">
        <v>9499.622201985951</v>
      </c>
    </row>
    <row r="21" ht="20.05" customHeight="1">
      <c r="B21" s="30"/>
      <c r="C21" s="16">
        <v>9600</v>
      </c>
      <c r="D21" s="17">
        <f>C21</f>
        <v>9600</v>
      </c>
      <c r="E21" s="33"/>
    </row>
    <row r="22" ht="20.05" customHeight="1">
      <c r="B22" s="30"/>
      <c r="C22" s="16"/>
      <c r="D22" s="17">
        <f>'Model'!F41</f>
        <v>12416.5819642779</v>
      </c>
      <c r="E22" s="3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1" width="12.0703" style="52" customWidth="1"/>
    <col min="12" max="16384" width="16.3516" style="52" customWidth="1"/>
  </cols>
  <sheetData>
    <row r="1" ht="27.65" customHeight="1">
      <c r="A1" t="s" s="2">
        <v>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>
      <c r="A2" s="4"/>
      <c r="B2" t="s" s="3">
        <v>63</v>
      </c>
      <c r="C2" t="s" s="3">
        <v>26</v>
      </c>
      <c r="D2" t="s" s="3">
        <v>27</v>
      </c>
      <c r="E2" t="s" s="3">
        <v>64</v>
      </c>
      <c r="F2" t="s" s="3">
        <v>26</v>
      </c>
      <c r="G2" t="s" s="3">
        <v>27</v>
      </c>
      <c r="H2" t="s" s="3">
        <v>64</v>
      </c>
      <c r="I2" s="4"/>
      <c r="J2" s="4"/>
      <c r="K2" s="4"/>
    </row>
    <row r="3" ht="20.25" customHeight="1">
      <c r="A3" s="24">
        <v>2000</v>
      </c>
      <c r="B3" s="25"/>
      <c r="C3" s="26">
        <f>60743-D3</f>
        <v>-1045</v>
      </c>
      <c r="D3" s="26">
        <v>61788</v>
      </c>
      <c r="E3" s="26">
        <f>C3+D3</f>
        <v>60743</v>
      </c>
      <c r="F3" s="26">
        <f>C3</f>
        <v>-1045</v>
      </c>
      <c r="G3" s="26">
        <f>D3</f>
        <v>61788</v>
      </c>
      <c r="H3" s="26">
        <f>E3</f>
        <v>60743</v>
      </c>
      <c r="I3" s="53"/>
      <c r="J3" s="53"/>
      <c r="K3" s="53"/>
    </row>
    <row r="4" ht="20.05" customHeight="1">
      <c r="A4" s="32">
        <v>2001</v>
      </c>
      <c r="B4" s="16"/>
      <c r="C4" s="17">
        <v>-1423</v>
      </c>
      <c r="D4" s="17"/>
      <c r="E4" s="17">
        <f>C4+D4</f>
        <v>-1423</v>
      </c>
      <c r="F4" s="17">
        <f>C4+F3</f>
        <v>-2468</v>
      </c>
      <c r="G4" s="17">
        <f>D4+G3</f>
        <v>61788</v>
      </c>
      <c r="H4" s="17">
        <f>E4+H3</f>
        <v>59320</v>
      </c>
      <c r="I4" s="33"/>
      <c r="J4" s="33"/>
      <c r="K4" s="33"/>
    </row>
    <row r="5" ht="20.05" customHeight="1">
      <c r="A5" s="32">
        <v>2002</v>
      </c>
      <c r="B5" s="16"/>
      <c r="C5" s="17">
        <f>-2645-D5</f>
        <v>-1767</v>
      </c>
      <c r="D5" s="17">
        <v>-878</v>
      </c>
      <c r="E5" s="17">
        <f>C5+D5</f>
        <v>-2645</v>
      </c>
      <c r="F5" s="17">
        <f>C5+F4</f>
        <v>-4235</v>
      </c>
      <c r="G5" s="17">
        <f>D5+G4</f>
        <v>60910</v>
      </c>
      <c r="H5" s="17">
        <f>E5+H4</f>
        <v>56675</v>
      </c>
      <c r="I5" s="33"/>
      <c r="J5" s="33"/>
      <c r="K5" s="33"/>
    </row>
    <row r="6" ht="20.05" customHeight="1">
      <c r="A6" s="32">
        <v>2003</v>
      </c>
      <c r="B6" s="16"/>
      <c r="C6" s="17">
        <f>-4817-D6</f>
        <v>-3563</v>
      </c>
      <c r="D6" s="17">
        <v>-1254</v>
      </c>
      <c r="E6" s="17">
        <f>C6+D6</f>
        <v>-4817</v>
      </c>
      <c r="F6" s="17">
        <f>C6+F5</f>
        <v>-7798</v>
      </c>
      <c r="G6" s="17">
        <f>D6+G5</f>
        <v>59656</v>
      </c>
      <c r="H6" s="17">
        <f>E6+H5</f>
        <v>51858</v>
      </c>
      <c r="I6" s="33"/>
      <c r="J6" s="33"/>
      <c r="K6" s="33"/>
    </row>
    <row r="7" ht="20.05" customHeight="1">
      <c r="A7" s="32">
        <v>2004</v>
      </c>
      <c r="B7" s="16"/>
      <c r="C7" s="17">
        <f>-1073-D7</f>
        <v>-758</v>
      </c>
      <c r="D7" s="17">
        <v>-315</v>
      </c>
      <c r="E7" s="17">
        <f>C7+D7</f>
        <v>-1073</v>
      </c>
      <c r="F7" s="17">
        <f>C7+F6</f>
        <v>-8556</v>
      </c>
      <c r="G7" s="17">
        <f>D7+G6</f>
        <v>59341</v>
      </c>
      <c r="H7" s="17">
        <f>E7+H6</f>
        <v>50785</v>
      </c>
      <c r="I7" s="33"/>
      <c r="J7" s="33"/>
      <c r="K7" s="33"/>
    </row>
    <row r="8" ht="20.05" customHeight="1">
      <c r="A8" s="32">
        <v>2005</v>
      </c>
      <c r="B8" s="16"/>
      <c r="C8" s="17">
        <f>-1152-D8</f>
        <v>416</v>
      </c>
      <c r="D8" s="17">
        <v>-1568</v>
      </c>
      <c r="E8" s="17">
        <f>C8+D8</f>
        <v>-1152</v>
      </c>
      <c r="F8" s="17">
        <f>C8+F7</f>
        <v>-8140</v>
      </c>
      <c r="G8" s="17">
        <f>D8+G7</f>
        <v>57773</v>
      </c>
      <c r="H8" s="17">
        <f>E8+H7</f>
        <v>49633</v>
      </c>
      <c r="I8" s="33"/>
      <c r="J8" s="33"/>
      <c r="K8" s="33"/>
    </row>
    <row r="9" ht="20.05" customHeight="1">
      <c r="A9" s="32">
        <v>2006</v>
      </c>
      <c r="B9" s="16"/>
      <c r="C9" s="17">
        <f>-2118-D9</f>
        <v>-1368</v>
      </c>
      <c r="D9" s="17">
        <v>-750</v>
      </c>
      <c r="E9" s="17">
        <f>C9+D9</f>
        <v>-2118</v>
      </c>
      <c r="F9" s="17">
        <f>C9+F8</f>
        <v>-9508</v>
      </c>
      <c r="G9" s="17">
        <f>D9+G8</f>
        <v>57023</v>
      </c>
      <c r="H9" s="17">
        <f>E9+H8</f>
        <v>47515</v>
      </c>
      <c r="I9" s="33"/>
      <c r="J9" s="33"/>
      <c r="K9" s="33"/>
    </row>
    <row r="10" ht="20.05" customHeight="1">
      <c r="A10" s="32">
        <v>2007</v>
      </c>
      <c r="B10" s="16"/>
      <c r="C10" s="17">
        <f>3681-D10</f>
        <v>729</v>
      </c>
      <c r="D10" s="17">
        <f>3982-1030</f>
        <v>2952</v>
      </c>
      <c r="E10" s="17">
        <f>C10+D10</f>
        <v>3681</v>
      </c>
      <c r="F10" s="17">
        <f>C10+F9</f>
        <v>-8779</v>
      </c>
      <c r="G10" s="17">
        <f>D10+G9</f>
        <v>59975</v>
      </c>
      <c r="H10" s="17">
        <f>E10+H9</f>
        <v>51196</v>
      </c>
      <c r="I10" s="33"/>
      <c r="J10" s="33"/>
      <c r="K10" s="33"/>
    </row>
    <row r="11" ht="20.05" customHeight="1">
      <c r="A11" s="32">
        <v>2008</v>
      </c>
      <c r="B11" s="16"/>
      <c r="C11" s="17">
        <f>889-485</f>
        <v>404</v>
      </c>
      <c r="D11" s="17">
        <v>-485</v>
      </c>
      <c r="E11" s="17">
        <f>C11+D11</f>
        <v>-81</v>
      </c>
      <c r="F11" s="17">
        <f>C11+F10</f>
        <v>-8375</v>
      </c>
      <c r="G11" s="17">
        <f>D11+G10</f>
        <v>59490</v>
      </c>
      <c r="H11" s="17">
        <f>E11+H10</f>
        <v>51115</v>
      </c>
      <c r="I11" s="33"/>
      <c r="J11" s="33"/>
      <c r="K11" s="33"/>
    </row>
    <row r="12" ht="20.05" customHeight="1">
      <c r="A12" s="32">
        <v>2009</v>
      </c>
      <c r="B12" s="16"/>
      <c r="C12" s="17">
        <f>-3422-D12</f>
        <v>-3056</v>
      </c>
      <c r="D12" s="17">
        <f>-171-195</f>
        <v>-366</v>
      </c>
      <c r="E12" s="17">
        <f>C12+D12</f>
        <v>-3422</v>
      </c>
      <c r="F12" s="17">
        <f>C12+F11</f>
        <v>-11431</v>
      </c>
      <c r="G12" s="17">
        <f>D12+G11</f>
        <v>59124</v>
      </c>
      <c r="H12" s="17">
        <f>E12+H11</f>
        <v>47693</v>
      </c>
      <c r="I12" s="33"/>
      <c r="J12" s="33"/>
      <c r="K12" s="33"/>
    </row>
    <row r="13" ht="20.05" customHeight="1">
      <c r="A13" s="32">
        <v>2010</v>
      </c>
      <c r="B13" s="16"/>
      <c r="C13" s="17">
        <f>16+54</f>
        <v>70</v>
      </c>
      <c r="D13" s="17">
        <f>9318-C13</f>
        <v>9248</v>
      </c>
      <c r="E13" s="17">
        <f>C13+D13</f>
        <v>9318</v>
      </c>
      <c r="F13" s="17">
        <f>C13+F12</f>
        <v>-11361</v>
      </c>
      <c r="G13" s="17">
        <f>D13+G12</f>
        <v>68372</v>
      </c>
      <c r="H13" s="17">
        <f>E13+H12</f>
        <v>57011</v>
      </c>
      <c r="I13" s="33"/>
      <c r="J13" s="33"/>
      <c r="K13" s="33"/>
    </row>
    <row r="14" ht="20.05" customHeight="1">
      <c r="A14" s="32">
        <v>2011</v>
      </c>
      <c r="B14" s="16"/>
      <c r="C14" s="17">
        <f>695-D14</f>
        <v>2090</v>
      </c>
      <c r="D14" s="17">
        <v>-1395</v>
      </c>
      <c r="E14" s="17">
        <f>C14+D14</f>
        <v>695</v>
      </c>
      <c r="F14" s="17">
        <f>C14+F13</f>
        <v>-9271</v>
      </c>
      <c r="G14" s="17">
        <f>D14+G13</f>
        <v>66977</v>
      </c>
      <c r="H14" s="17">
        <f>E14+H13</f>
        <v>57706</v>
      </c>
      <c r="I14" s="33"/>
      <c r="J14" s="33"/>
      <c r="K14" s="33"/>
    </row>
    <row r="15" ht="20.05" customHeight="1">
      <c r="A15" s="32">
        <v>2012</v>
      </c>
      <c r="B15" s="16"/>
      <c r="C15" s="17">
        <f>3067-D15</f>
        <v>4462</v>
      </c>
      <c r="D15" s="17">
        <v>-1395</v>
      </c>
      <c r="E15" s="17">
        <f>C15+D15</f>
        <v>3067</v>
      </c>
      <c r="F15" s="17">
        <f>C15+F14</f>
        <v>-4809</v>
      </c>
      <c r="G15" s="17">
        <f>D15+G14</f>
        <v>65582</v>
      </c>
      <c r="H15" s="17">
        <f>E15+H14</f>
        <v>60773</v>
      </c>
      <c r="I15" s="33"/>
      <c r="J15" s="33"/>
      <c r="K15" s="33"/>
    </row>
    <row r="16" ht="20.05" customHeight="1">
      <c r="A16" s="32">
        <v>2013</v>
      </c>
      <c r="B16" s="16"/>
      <c r="C16" s="17">
        <f>9985-D16</f>
        <v>12099</v>
      </c>
      <c r="D16" s="17">
        <v>-2114</v>
      </c>
      <c r="E16" s="17">
        <f>C16+D16</f>
        <v>9985</v>
      </c>
      <c r="F16" s="17">
        <f>C16+F15</f>
        <v>7290</v>
      </c>
      <c r="G16" s="17">
        <f>D16+G15</f>
        <v>63468</v>
      </c>
      <c r="H16" s="17">
        <f>E16+H15</f>
        <v>70758</v>
      </c>
      <c r="I16" s="33"/>
      <c r="J16" s="33"/>
      <c r="K16" s="33"/>
    </row>
    <row r="17" ht="20.05" customHeight="1">
      <c r="A17" s="32">
        <v>2014</v>
      </c>
      <c r="B17" s="16"/>
      <c r="C17" s="17">
        <f>-4454-D17</f>
        <v>-1738</v>
      </c>
      <c r="D17" s="17">
        <v>-2716</v>
      </c>
      <c r="E17" s="17">
        <f>C17+D17</f>
        <v>-4454</v>
      </c>
      <c r="F17" s="17">
        <f>C17+F16</f>
        <v>5552</v>
      </c>
      <c r="G17" s="17">
        <f>D17+G16</f>
        <v>60752</v>
      </c>
      <c r="H17" s="17">
        <f>E17+H16</f>
        <v>66304</v>
      </c>
      <c r="I17" s="33"/>
      <c r="J17" s="33"/>
      <c r="K17" s="33"/>
    </row>
    <row r="18" ht="20.05" customHeight="1">
      <c r="A18" s="32">
        <v>2015</v>
      </c>
      <c r="B18" s="16"/>
      <c r="C18" s="17">
        <f>9250-D18</f>
        <v>12696</v>
      </c>
      <c r="D18" s="17">
        <f>-2696-750</f>
        <v>-3446</v>
      </c>
      <c r="E18" s="17">
        <f>C18+D18</f>
        <v>9250</v>
      </c>
      <c r="F18" s="17">
        <f>C18+F17</f>
        <v>18248</v>
      </c>
      <c r="G18" s="17">
        <f>D18+G17</f>
        <v>57306</v>
      </c>
      <c r="H18" s="17">
        <f>E18+H17</f>
        <v>75554</v>
      </c>
      <c r="I18" s="33"/>
      <c r="J18" s="33"/>
      <c r="K18" s="33"/>
    </row>
    <row r="19" ht="20.05" customHeight="1">
      <c r="A19" s="32">
        <v>2016</v>
      </c>
      <c r="B19" s="16"/>
      <c r="C19" s="17">
        <f>8637-D19</f>
        <v>10904</v>
      </c>
      <c r="D19" s="17">
        <v>-2267</v>
      </c>
      <c r="E19" s="17">
        <f>C19+D19</f>
        <v>8637</v>
      </c>
      <c r="F19" s="17">
        <f>C19+F18</f>
        <v>29152</v>
      </c>
      <c r="G19" s="17">
        <f>D19+G18</f>
        <v>55039</v>
      </c>
      <c r="H19" s="17">
        <f>E19+H18</f>
        <v>84191</v>
      </c>
      <c r="I19" s="33"/>
      <c r="J19" s="33"/>
      <c r="K19" s="33"/>
    </row>
    <row r="20" ht="20.05" customHeight="1">
      <c r="A20" s="32">
        <v>2017</v>
      </c>
      <c r="B20" s="16"/>
      <c r="C20" s="17">
        <f>3194-D20</f>
        <v>7163</v>
      </c>
      <c r="D20" s="17">
        <v>-3969</v>
      </c>
      <c r="E20" s="17">
        <f>C20+D20</f>
        <v>3194</v>
      </c>
      <c r="F20" s="17">
        <f>C20+F19</f>
        <v>36315</v>
      </c>
      <c r="G20" s="17">
        <f>D20+G19</f>
        <v>51070</v>
      </c>
      <c r="H20" s="17">
        <f>E20+H19</f>
        <v>87385</v>
      </c>
      <c r="I20" s="33"/>
      <c r="J20" s="33"/>
      <c r="K20" s="33"/>
    </row>
    <row r="21" ht="20.05" customHeight="1">
      <c r="A21" s="32">
        <v>2018</v>
      </c>
      <c r="B21" s="16"/>
      <c r="C21" s="17">
        <f>20609-D21</f>
        <v>25375</v>
      </c>
      <c r="D21" s="17">
        <v>-4766</v>
      </c>
      <c r="E21" s="17">
        <f>C21+D21</f>
        <v>20609</v>
      </c>
      <c r="F21" s="17">
        <f>C21+F20</f>
        <v>61690</v>
      </c>
      <c r="G21" s="17">
        <f>D21+G20</f>
        <v>46304</v>
      </c>
      <c r="H21" s="17">
        <f>E21+H20</f>
        <v>107994</v>
      </c>
      <c r="I21" s="33"/>
      <c r="J21" s="33"/>
      <c r="K21" s="33"/>
    </row>
    <row r="22" ht="20.05" customHeight="1">
      <c r="A22" s="32">
        <v>2019</v>
      </c>
      <c r="B22" s="16"/>
      <c r="C22" s="17">
        <f>-18491-D22</f>
        <v>-14737</v>
      </c>
      <c r="D22" s="17">
        <v>-3754</v>
      </c>
      <c r="E22" s="17">
        <f>C22+D22</f>
        <v>-18491</v>
      </c>
      <c r="F22" s="17">
        <f>C22+F21</f>
        <v>46953</v>
      </c>
      <c r="G22" s="17">
        <f>D22+G21</f>
        <v>42550</v>
      </c>
      <c r="H22" s="17">
        <f>E22+H21</f>
        <v>89503</v>
      </c>
      <c r="I22" s="33"/>
      <c r="J22" s="33"/>
      <c r="K22" s="33"/>
    </row>
    <row r="23" ht="20.05" customHeight="1">
      <c r="A23" s="32">
        <v>2020</v>
      </c>
      <c r="B23" s="16"/>
      <c r="C23" s="17">
        <f>-17139-D23</f>
        <v>-13293</v>
      </c>
      <c r="D23" s="17">
        <v>-3846</v>
      </c>
      <c r="E23" s="17">
        <f>C23+D23</f>
        <v>-17139</v>
      </c>
      <c r="F23" s="17">
        <f>C23+F22</f>
        <v>33660</v>
      </c>
      <c r="G23" s="17">
        <f>D23+G22</f>
        <v>38704</v>
      </c>
      <c r="H23" s="17">
        <f>E23+H22</f>
        <v>72364</v>
      </c>
      <c r="I23" s="33"/>
      <c r="J23" s="33"/>
      <c r="K23" s="33"/>
    </row>
    <row r="24" ht="20.05" customHeight="1">
      <c r="A24" s="32">
        <v>2021</v>
      </c>
      <c r="B24" s="16">
        <v>-113</v>
      </c>
      <c r="C24" s="17">
        <f>SUM('Cashflow'!F28:F31)</f>
        <v>3020.8</v>
      </c>
      <c r="D24" s="17">
        <f>SUM('Cashflow'!H28:H31)</f>
        <v>-948.1</v>
      </c>
      <c r="E24" s="17">
        <f>C24+D24</f>
        <v>2072.7</v>
      </c>
      <c r="F24" s="17">
        <f>C24+F23</f>
        <v>36680.8</v>
      </c>
      <c r="G24" s="17">
        <f>D24+G23</f>
        <v>37755.9</v>
      </c>
      <c r="H24" s="17">
        <f>E24+H23</f>
        <v>74436.7</v>
      </c>
      <c r="I24" s="17">
        <f>AVERAGE(E9:E24)</f>
        <v>1550.23125</v>
      </c>
      <c r="J24" s="17">
        <f>AVERAGE(E20:E24)</f>
        <v>-1950.86</v>
      </c>
      <c r="K24" s="17">
        <f>E24</f>
        <v>2072.7</v>
      </c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