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<sst xmlns="http://schemas.openxmlformats.org/spreadsheetml/2006/main" uniqueCount="62">
  <si>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</si>
  <si>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</si>
  <si>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2022</t>
  </si>
  <si>
    <t>Cash flow</t>
  </si>
  <si>
    <t>Growth</t>
  </si>
  <si>
    <t xml:space="preserve">Sales </t>
  </si>
  <si>
    <t>Cost ratio</t>
  </si>
  <si>
    <t>Cash costs</t>
  </si>
  <si>
    <t>Operating</t>
  </si>
  <si>
    <t>Investment</t>
  </si>
  <si>
    <t>Finance</t>
  </si>
  <si>
    <t xml:space="preserve">Payout </t>
  </si>
  <si>
    <t>Equity</t>
  </si>
  <si>
    <t xml:space="preserve">Before revolver </t>
  </si>
  <si>
    <t>Revolver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</si>
  <si>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</si>
  <si>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</si>
  <si>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</si>
  <si>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</si>
  <si>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</si>
  <si>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</si>
  <si>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</si>
  <si>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</si>
  <si>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</si>
  <si>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</si>
  <si>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</si>
  <si>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</si>
  <si>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</si>
  <si>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</si>
  <si>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</si>
  <si>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</si>
  <si>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</si>
  <si>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</si>
  <si>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</si>
  <si>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</si>
  <si>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</si>
  <si>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</si>
  <si>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</si>
  <si>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</si>
  <si>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</si>
  <si>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</si>
  <si>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</si>
  <si>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</si>
  <si>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Provisions</t>
  </si>
  <si>
    <t>Sales to assets ratio</t>
  </si>
  <si>
    <t xml:space="preserve">Sales growth </t>
  </si>
  <si>
    <t>Cashflow</t>
  </si>
  <si>
    <t>Operating before working capital</t>
  </si>
  <si>
    <t>Capex</t>
  </si>
  <si>
    <t xml:space="preserve">Operating </t>
  </si>
  <si>
    <t xml:space="preserve">Investing </t>
  </si>
  <si>
    <t xml:space="preserve">Free cashflow </t>
  </si>
  <si>
    <t xml:space="preserve">  Cash</t>
  </si>
  <si>
    <t xml:space="preserve">Assets </t>
  </si>
  <si>
    <t xml:space="preserve">Other assets growth </t>
  </si>
  <si>
    <t xml:space="preserve">Liabilities growth </t>
  </si>
  <si>
    <t>Net cash</t>
  </si>
  <si>
    <t>Share price</t>
  </si>
  <si>
    <t>BBCA</t>
  </si>
  <si>
    <t xml:space="preserve">Previous </t>
  </si>
  <si>
    <t>Capital</t>
  </si>
  <si>
    <t>Total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</si>
</sst>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#,##0.0"/>
    <numFmt numFmtId="61" formatCode="0.0%"/>
    <numFmt numFmtId="62" formatCode="#,##0.0%_);[Red]\(#,##0.0%\)"/>
    <numFmt numFmtId="63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1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11"/>
      </right>
      <top style="thin">
        <color indexed="10"/>
      </top>
      <bottom>
        <color indexed="8"/>
      </bottom>
      <diagonal/>
    </border>
    <border>
      <left>
        <color indexed="8"/>
      </left>
      <right style="thin">
        <color indexed="11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horizontal="right" vertical="top" wrapText="1"/>
    </xf>
    <xf numFmtId="49" fontId="2" fillId="2" borderId="9" applyNumberFormat="1" applyFont="1" applyFill="1" applyBorder="1" applyAlignment="1" applyProtection="0">
      <alignment vertical="top" wrapText="1"/>
    </xf>
    <xf numFmtId="49" fontId="2" fillId="2" borderId="10" applyNumberFormat="1" applyFont="1" applyFill="1" applyBorder="1" applyAlignment="1" applyProtection="0">
      <alignment vertical="top" wrapText="1"/>
    </xf>
    <xf numFmtId="0" fontId="2" fillId="4" borderId="11" applyNumberFormat="1" applyFont="1" applyFill="1" applyBorder="1" applyAlignment="1" applyProtection="0">
      <alignment vertical="top" wrapText="1"/>
    </xf>
    <xf numFmtId="0" fontId="2" fillId="4" borderId="12" applyNumberFormat="0" applyFont="1" applyFill="1" applyBorder="1" applyAlignment="1" applyProtection="0">
      <alignment vertical="top" wrapText="1"/>
    </xf>
    <xf numFmtId="0" fontId="2" fillId="4" borderId="12" applyNumberFormat="1" applyFont="1" applyFill="1" applyBorder="1" applyAlignment="1" applyProtection="0">
      <alignment vertical="top" wrapText="1"/>
    </xf>
    <xf numFmtId="0" fontId="2" fillId="4" borderId="13" applyNumberFormat="0" applyFont="1" applyFill="1" applyBorder="1" applyAlignment="1" applyProtection="0">
      <alignment vertical="top" wrapText="1"/>
    </xf>
    <xf numFmtId="0" fontId="2" fillId="4" borderId="14" applyNumberFormat="0" applyFont="1" applyFill="1" applyBorder="1" applyAlignment="1" applyProtection="0">
      <alignment vertical="top" wrapText="1"/>
    </xf>
    <xf numFmtId="0" fontId="2" fillId="4" borderId="14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3186"/>
          <c:y val="0.0446026"/>
          <c:w val="0.82835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'Capital'!$B$4:$B$21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'Capital'!$F$4:$F$21</c:f>
              <c:numCache>
                <c:ptCount val="18"/>
                <c:pt idx="0">
                  <c:v>31.400000</c:v>
                </c:pt>
                <c:pt idx="1">
                  <c:v>52.475000</c:v>
                </c:pt>
                <c:pt idx="2">
                  <c:v>435.275000</c:v>
                </c:pt>
                <c:pt idx="3">
                  <c:v>-200.395000</c:v>
                </c:pt>
                <c:pt idx="4">
                  <c:v>81.613000</c:v>
                </c:pt>
                <c:pt idx="5">
                  <c:v>-199.999000</c:v>
                </c:pt>
                <c:pt idx="6">
                  <c:v>154.346000</c:v>
                </c:pt>
                <c:pt idx="7">
                  <c:v>881.393000</c:v>
                </c:pt>
                <c:pt idx="8">
                  <c:v>1865.297000</c:v>
                </c:pt>
                <c:pt idx="9">
                  <c:v>2143.854000</c:v>
                </c:pt>
                <c:pt idx="10">
                  <c:v>1123.314000</c:v>
                </c:pt>
                <c:pt idx="11">
                  <c:v>1679.725000</c:v>
                </c:pt>
                <c:pt idx="12">
                  <c:v>210.103000</c:v>
                </c:pt>
                <c:pt idx="13">
                  <c:v>-618.477000</c:v>
                </c:pt>
                <c:pt idx="14">
                  <c:v>2730.896000</c:v>
                </c:pt>
                <c:pt idx="15">
                  <c:v>947.238000</c:v>
                </c:pt>
                <c:pt idx="16">
                  <c:v>504.238000</c:v>
                </c:pt>
                <c:pt idx="17">
                  <c:v>259.238000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'Capital'!$B$4:$B$21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'Capital'!$G$4:$G$21</c:f>
              <c:numCache>
                <c:ptCount val="18"/>
                <c:pt idx="0">
                  <c:v>0.913000</c:v>
                </c:pt>
                <c:pt idx="1">
                  <c:v>-1179.725000</c:v>
                </c:pt>
                <c:pt idx="2">
                  <c:v>-3320.698000</c:v>
                </c:pt>
                <c:pt idx="3">
                  <c:v>173.967000</c:v>
                </c:pt>
                <c:pt idx="4">
                  <c:v>-3237.138000</c:v>
                </c:pt>
                <c:pt idx="5">
                  <c:v>-5978.228000</c:v>
                </c:pt>
                <c:pt idx="6">
                  <c:v>-8743.683000</c:v>
                </c:pt>
                <c:pt idx="7">
                  <c:v>-10771.604000</c:v>
                </c:pt>
                <c:pt idx="8">
                  <c:v>-11671.557000</c:v>
                </c:pt>
                <c:pt idx="9">
                  <c:v>-14692.422000</c:v>
                </c:pt>
                <c:pt idx="10">
                  <c:v>-18426.037000</c:v>
                </c:pt>
                <c:pt idx="11">
                  <c:v>-22644.507000</c:v>
                </c:pt>
                <c:pt idx="12">
                  <c:v>-27830.583000</c:v>
                </c:pt>
                <c:pt idx="13">
                  <c:v>-34299.652000</c:v>
                </c:pt>
                <c:pt idx="14">
                  <c:v>-42983.921000</c:v>
                </c:pt>
                <c:pt idx="15">
                  <c:v>-56617.921000</c:v>
                </c:pt>
                <c:pt idx="16">
                  <c:v>-70350.921000</c:v>
                </c:pt>
                <c:pt idx="17">
                  <c:v>-70350.921000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'Capital'!$B$4:$B$21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'Capital'!$H$4:$H$21</c:f>
              <c:numCache>
                <c:ptCount val="18"/>
                <c:pt idx="0">
                  <c:v>32.313000</c:v>
                </c:pt>
                <c:pt idx="1">
                  <c:v>-1127.250000</c:v>
                </c:pt>
                <c:pt idx="2">
                  <c:v>-2885.423000</c:v>
                </c:pt>
                <c:pt idx="3">
                  <c:v>-26.428000</c:v>
                </c:pt>
                <c:pt idx="4">
                  <c:v>-3155.525000</c:v>
                </c:pt>
                <c:pt idx="5">
                  <c:v>-6178.227000</c:v>
                </c:pt>
                <c:pt idx="6">
                  <c:v>-8589.337000</c:v>
                </c:pt>
                <c:pt idx="7">
                  <c:v>-9890.211000</c:v>
                </c:pt>
                <c:pt idx="8">
                  <c:v>-9806.260000</c:v>
                </c:pt>
                <c:pt idx="9">
                  <c:v>-12548.568000</c:v>
                </c:pt>
                <c:pt idx="10">
                  <c:v>-17302.723000</c:v>
                </c:pt>
                <c:pt idx="11">
                  <c:v>-20964.782000</c:v>
                </c:pt>
                <c:pt idx="12">
                  <c:v>-27620.480000</c:v>
                </c:pt>
                <c:pt idx="13">
                  <c:v>-34918.129000</c:v>
                </c:pt>
                <c:pt idx="14">
                  <c:v>-40253.025000</c:v>
                </c:pt>
                <c:pt idx="15">
                  <c:v>-55670.683000</c:v>
                </c:pt>
                <c:pt idx="16">
                  <c:v>-69846.683000</c:v>
                </c:pt>
                <c:pt idx="17">
                  <c:v>-70091.683000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000"/>
        <c:minorUnit val="125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86049"/>
          <c:y val="0.0561608"/>
          <c:w val="0.401236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588862</xdr:colOff>
      <xdr:row>2</xdr:row>
      <xdr:rowOff>10825</xdr:rowOff>
    </xdr:from>
    <xdr:to>
      <xdr:col>13</xdr:col>
      <xdr:colOff>654082</xdr:colOff>
      <xdr:row>46</xdr:row>
      <xdr:rowOff>40822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87862" y="825530"/>
          <a:ext cx="8777421" cy="112618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447057</xdr:colOff>
      <xdr:row>27</xdr:row>
      <xdr:rowOff>175651</xdr:rowOff>
    </xdr:from>
    <xdr:to>
      <xdr:col>6</xdr:col>
      <xdr:colOff>747983</xdr:colOff>
      <xdr:row>40</xdr:row>
      <xdr:rowOff>227276</xdr:rowOff>
    </xdr:to>
    <xdr:graphicFrame>
      <xdr:nvGraphicFramePr>
        <xdr:cNvPr id="4" name="2D Line Chart"/>
        <xdr:cNvGraphicFramePr/>
      </xdr:nvGraphicFramePr>
      <xdr:xfrm>
        <a:off x="1475756" y="7168271"/>
        <a:ext cx="3602928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7188" style="1" customWidth="1"/>
    <col min="2" max="2" width="16.2031" style="1" customWidth="1"/>
    <col min="3" max="3" width="8.35938" style="1" customWidth="1"/>
    <col min="4" max="6" width="9.52344" style="1" customWidth="1"/>
    <col min="7" max="16384" width="16.3516" style="1" customWidth="1"/>
  </cols>
  <sheetData>
    <row r="1" ht="36.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AVERAGE('Sales'!I29:I32)</f>
        <v>0.00986863568679283</v>
      </c>
      <c r="D4" s="8"/>
      <c r="E4" s="8"/>
      <c r="F4" s="9">
        <f>AVERAGE(C5:F5)</f>
        <v>0.0225</v>
      </c>
    </row>
    <row r="5" ht="20.1" customHeight="1">
      <c r="B5" t="s" s="10">
        <v>4</v>
      </c>
      <c r="C5" s="11">
        <v>0.02</v>
      </c>
      <c r="D5" s="12">
        <v>0.04</v>
      </c>
      <c r="E5" s="12">
        <v>0.04</v>
      </c>
      <c r="F5" s="12">
        <v>-0.01</v>
      </c>
    </row>
    <row r="6" ht="20.1" customHeight="1">
      <c r="B6" t="s" s="10">
        <v>5</v>
      </c>
      <c r="C6" s="13">
        <f>'Sales'!C32*(1+C5)</f>
        <v>22979.988</v>
      </c>
      <c r="D6" s="14">
        <f>C6*(1+D5)</f>
        <v>23899.18752</v>
      </c>
      <c r="E6" s="14">
        <f>D6*(1+E5)</f>
        <v>24855.1550208</v>
      </c>
      <c r="F6" s="14">
        <f>E6*(1+F5)</f>
        <v>24606.603470592</v>
      </c>
    </row>
    <row r="7" ht="20.1" customHeight="1">
      <c r="B7" t="s" s="10">
        <v>6</v>
      </c>
      <c r="C7" s="15">
        <f>AVERAGE('Sales'!K31)</f>
        <v>-0.509907374486964</v>
      </c>
      <c r="D7" s="16">
        <f>C7</f>
        <v>-0.509907374486964</v>
      </c>
      <c r="E7" s="16">
        <f>D7</f>
        <v>-0.509907374486964</v>
      </c>
      <c r="F7" s="16">
        <f>E7</f>
        <v>-0.509907374486964</v>
      </c>
    </row>
    <row r="8" ht="20.1" customHeight="1">
      <c r="B8" t="s" s="10">
        <v>7</v>
      </c>
      <c r="C8" s="17">
        <f>C7*C6</f>
        <v>-11717.6653468219</v>
      </c>
      <c r="D8" s="18">
        <f>D7*D6</f>
        <v>-12186.3719606948</v>
      </c>
      <c r="E8" s="18">
        <f>E7*E6</f>
        <v>-12673.8268391226</v>
      </c>
      <c r="F8" s="18">
        <f>F7*F6</f>
        <v>-12547.0885707314</v>
      </c>
    </row>
    <row r="9" ht="20.1" customHeight="1">
      <c r="B9" t="s" s="10">
        <v>8</v>
      </c>
      <c r="C9" s="17">
        <f>C6+C8</f>
        <v>11262.3226531781</v>
      </c>
      <c r="D9" s="18">
        <f>D6+D8</f>
        <v>11712.8155593052</v>
      </c>
      <c r="E9" s="18">
        <f>E6+E8</f>
        <v>12181.3281816774</v>
      </c>
      <c r="F9" s="18">
        <f>F6+F8</f>
        <v>12059.5148998606</v>
      </c>
    </row>
    <row r="10" ht="20.05" customHeight="1">
      <c r="B10" t="s" s="10">
        <v>9</v>
      </c>
      <c r="C10" s="17">
        <f>AVERAGE('Cashflow '!D32)</f>
        <v>-505.1</v>
      </c>
      <c r="D10" s="18">
        <f>C10</f>
        <v>-505.1</v>
      </c>
      <c r="E10" s="18">
        <f>D10</f>
        <v>-505.1</v>
      </c>
      <c r="F10" s="18">
        <f>E10</f>
        <v>-505.1</v>
      </c>
    </row>
    <row r="11" ht="20.1" customHeight="1">
      <c r="B11" t="s" s="10">
        <v>10</v>
      </c>
      <c r="C11" s="17">
        <f>C13+C15</f>
        <v>-6294.658122542480</v>
      </c>
      <c r="D11" s="18">
        <f>D13+D15</f>
        <v>-6655.052447444160</v>
      </c>
      <c r="E11" s="18">
        <f>E13+E15</f>
        <v>-7029.862545341920</v>
      </c>
      <c r="F11" s="18">
        <f>F13+F15</f>
        <v>-6932.411919888480</v>
      </c>
    </row>
    <row r="12" ht="20.1" customHeight="1">
      <c r="B12" t="s" s="10">
        <v>11</v>
      </c>
      <c r="C12" s="19">
        <v>0.8</v>
      </c>
      <c r="D12" s="18"/>
      <c r="E12" s="18"/>
      <c r="F12" s="18"/>
    </row>
    <row r="13" ht="20.1" customHeight="1">
      <c r="B13" t="s" s="10">
        <v>12</v>
      </c>
      <c r="C13" s="17">
        <f>IF(C22&gt;0,-C22*$C$12,0)</f>
        <v>-6294.658122542480</v>
      </c>
      <c r="D13" s="18">
        <f>IF(D22&gt;0,-D22*$C$12,0)</f>
        <v>-6655.052447444160</v>
      </c>
      <c r="E13" s="18">
        <f>IF(E22&gt;0,-E22*$C$12,0)</f>
        <v>-7029.862545341920</v>
      </c>
      <c r="F13" s="18">
        <f>IF(F22&gt;0,-F22*$C$12,0)</f>
        <v>-6932.411919888480</v>
      </c>
    </row>
    <row r="14" ht="20.1" customHeight="1">
      <c r="B14" t="s" s="10">
        <v>13</v>
      </c>
      <c r="C14" s="17">
        <f>C9+C10+C13</f>
        <v>4462.564530635620</v>
      </c>
      <c r="D14" s="18">
        <f>D9+D10+D13</f>
        <v>4552.663111861040</v>
      </c>
      <c r="E14" s="18">
        <f>E9+E10+E13</f>
        <v>4646.365636335480</v>
      </c>
      <c r="F14" s="18">
        <f>F9+F10+F13</f>
        <v>4622.002979972120</v>
      </c>
    </row>
    <row r="15" ht="20.1" customHeight="1">
      <c r="B15" t="s" s="10">
        <v>14</v>
      </c>
      <c r="C15" s="17">
        <f>-MIN(0,C14)</f>
        <v>0</v>
      </c>
      <c r="D15" s="18">
        <f>-MIN(C28,D14)</f>
        <v>0</v>
      </c>
      <c r="E15" s="18">
        <f>-MIN(D28,E14)</f>
        <v>0</v>
      </c>
      <c r="F15" s="18">
        <f>-MIN(E28,F14)</f>
        <v>0</v>
      </c>
    </row>
    <row r="16" ht="20.1" customHeight="1">
      <c r="B16" t="s" s="10">
        <v>15</v>
      </c>
      <c r="C16" s="17">
        <f>'Balance Sheet '!C28</f>
        <v>157291.3</v>
      </c>
      <c r="D16" s="18">
        <f>C18</f>
        <v>161753.864530636</v>
      </c>
      <c r="E16" s="18">
        <f>D18</f>
        <v>166306.527642497</v>
      </c>
      <c r="F16" s="18">
        <f>E18</f>
        <v>170952.893278832</v>
      </c>
    </row>
    <row r="17" ht="20.1" customHeight="1">
      <c r="B17" t="s" s="10">
        <v>16</v>
      </c>
      <c r="C17" s="17">
        <f>C9+C10+C11</f>
        <v>4462.564530635620</v>
      </c>
      <c r="D17" s="18">
        <f>D9+D10+D11</f>
        <v>4552.663111861040</v>
      </c>
      <c r="E17" s="18">
        <f>E9+E10+E11</f>
        <v>4646.365636335480</v>
      </c>
      <c r="F17" s="18">
        <f>F9+F10+F11</f>
        <v>4622.002979972120</v>
      </c>
    </row>
    <row r="18" ht="20.1" customHeight="1">
      <c r="B18" t="s" s="10">
        <v>17</v>
      </c>
      <c r="C18" s="17">
        <f>C16+C17</f>
        <v>161753.864530636</v>
      </c>
      <c r="D18" s="18">
        <f>D16+D17</f>
        <v>166306.527642497</v>
      </c>
      <c r="E18" s="18">
        <f>E16+E17</f>
        <v>170952.893278832</v>
      </c>
      <c r="F18" s="18">
        <f>F16+F17</f>
        <v>175574.896258804</v>
      </c>
    </row>
    <row r="19" ht="20.1" customHeight="1">
      <c r="B19" t="s" s="20">
        <v>18</v>
      </c>
      <c r="C19" s="17"/>
      <c r="D19" s="18"/>
      <c r="E19" s="18"/>
      <c r="F19" s="18"/>
    </row>
    <row r="20" ht="20.05" customHeight="1">
      <c r="B20" t="s" s="10">
        <v>19</v>
      </c>
      <c r="C20" s="17">
        <f>-AVERAGE('Sales'!F32)</f>
        <v>-576</v>
      </c>
      <c r="D20" s="18">
        <f>C20</f>
        <v>-576</v>
      </c>
      <c r="E20" s="18">
        <f>D20</f>
        <v>-576</v>
      </c>
      <c r="F20" s="18">
        <f>E20</f>
        <v>-576</v>
      </c>
    </row>
    <row r="21" ht="20.05" customHeight="1">
      <c r="B21" t="s" s="10">
        <v>20</v>
      </c>
      <c r="C21" s="17">
        <f>-AVERAGE('Sales'!E32)</f>
        <v>-2818</v>
      </c>
      <c r="D21" s="18">
        <f>C21</f>
        <v>-2818</v>
      </c>
      <c r="E21" s="18">
        <f>D21</f>
        <v>-2818</v>
      </c>
      <c r="F21" s="18">
        <f>E21</f>
        <v>-2818</v>
      </c>
    </row>
    <row r="22" ht="20.1" customHeight="1">
      <c r="B22" t="s" s="10">
        <v>21</v>
      </c>
      <c r="C22" s="17">
        <f>C6+C8+C20+C21</f>
        <v>7868.3226531781</v>
      </c>
      <c r="D22" s="18">
        <f>D6+D8+D20+D21</f>
        <v>8318.8155593052</v>
      </c>
      <c r="E22" s="18">
        <f>E6+E8+E20+E21</f>
        <v>8787.3281816774</v>
      </c>
      <c r="F22" s="18">
        <f>F6+F8+F20+F21</f>
        <v>8665.5148998606</v>
      </c>
    </row>
    <row r="23" ht="20.1" customHeight="1">
      <c r="B23" t="s" s="20">
        <v>22</v>
      </c>
      <c r="C23" s="17"/>
      <c r="D23" s="18"/>
      <c r="E23" s="18"/>
      <c r="F23" s="18"/>
    </row>
    <row r="24" ht="20.1" customHeight="1">
      <c r="B24" t="s" s="10">
        <v>23</v>
      </c>
      <c r="C24" s="17">
        <f>'Balance Sheet '!E28+'Balance Sheet '!F28-C10</f>
        <v>1113296.8</v>
      </c>
      <c r="D24" s="18">
        <f>C24-D10</f>
        <v>1113801.9</v>
      </c>
      <c r="E24" s="18">
        <f>D24-E10</f>
        <v>1114307</v>
      </c>
      <c r="F24" s="18">
        <f>E24-F10</f>
        <v>1114812.1</v>
      </c>
    </row>
    <row r="25" ht="20.1" customHeight="1">
      <c r="B25" t="s" s="10">
        <v>19</v>
      </c>
      <c r="C25" s="17">
        <f>'Balance Sheet '!F28-C20-C21</f>
        <v>14042</v>
      </c>
      <c r="D25" s="18">
        <f>C25-D20-D21</f>
        <v>17436</v>
      </c>
      <c r="E25" s="18">
        <f>D25-E20-E21</f>
        <v>20830</v>
      </c>
      <c r="F25" s="18">
        <f>E25-F20-F21</f>
        <v>24224</v>
      </c>
    </row>
    <row r="26" ht="20.1" customHeight="1">
      <c r="B26" t="s" s="10">
        <v>24</v>
      </c>
      <c r="C26" s="17">
        <f>C24-C25</f>
        <v>1099254.8</v>
      </c>
      <c r="D26" s="18">
        <f>D24-D25</f>
        <v>1096365.9</v>
      </c>
      <c r="E26" s="18">
        <f>E24-E25</f>
        <v>1093477</v>
      </c>
      <c r="F26" s="18">
        <f>F24-F25</f>
        <v>1090588.1</v>
      </c>
    </row>
    <row r="27" ht="20.1" customHeight="1">
      <c r="B27" t="s" s="10">
        <v>25</v>
      </c>
      <c r="C27" s="17">
        <f>'Balance Sheet '!H28</f>
        <v>1064607</v>
      </c>
      <c r="D27" s="18">
        <f>C27</f>
        <v>1064607</v>
      </c>
      <c r="E27" s="18">
        <f>D27</f>
        <v>1064607</v>
      </c>
      <c r="F27" s="18">
        <f>E27</f>
        <v>1064607</v>
      </c>
    </row>
    <row r="28" ht="20.1" customHeight="1">
      <c r="B28" t="s" s="10">
        <v>14</v>
      </c>
      <c r="C28" s="17">
        <f>C15</f>
        <v>0</v>
      </c>
      <c r="D28" s="18">
        <f>C28+D15</f>
        <v>0</v>
      </c>
      <c r="E28" s="18">
        <f>D28+E15</f>
        <v>0</v>
      </c>
      <c r="F28" s="18">
        <f>E28+F15</f>
        <v>0</v>
      </c>
    </row>
    <row r="29" ht="20.1" customHeight="1">
      <c r="B29" t="s" s="10">
        <v>26</v>
      </c>
      <c r="C29" s="17">
        <f>'Balance Sheet '!I28+C22+C13</f>
        <v>196401.664530636</v>
      </c>
      <c r="D29" s="18">
        <f>C29+D22+D13</f>
        <v>198065.427642497</v>
      </c>
      <c r="E29" s="18">
        <f>D29+E22+E13</f>
        <v>199822.893278832</v>
      </c>
      <c r="F29" s="18">
        <f>E29+F22+F13</f>
        <v>201555.996258804</v>
      </c>
    </row>
    <row r="30" ht="20.1" customHeight="1">
      <c r="B30" t="s" s="10">
        <v>27</v>
      </c>
      <c r="C30" s="17">
        <f>C27+C28+C29-C18-C26</f>
        <v>0</v>
      </c>
      <c r="D30" s="18">
        <f>D27+D28+D29-D18-D26</f>
        <v>0</v>
      </c>
      <c r="E30" s="18">
        <f>E27+E28+E29-E18-E26</f>
        <v>0</v>
      </c>
      <c r="F30" s="18">
        <f>F27+F28+F29-F18-F26</f>
        <v>0</v>
      </c>
    </row>
    <row r="31" ht="20.1" customHeight="1">
      <c r="B31" t="s" s="20">
        <v>28</v>
      </c>
      <c r="C31" s="17"/>
      <c r="D31" s="18"/>
      <c r="E31" s="18"/>
      <c r="F31" s="18"/>
    </row>
    <row r="32" ht="20.1" customHeight="1">
      <c r="B32" t="s" s="10">
        <v>29</v>
      </c>
      <c r="C32" s="17">
        <f>'Cashflow '!M32-C11</f>
        <v>65689.258122542495</v>
      </c>
      <c r="D32" s="18">
        <f>C32-D11</f>
        <v>72344.3105699867</v>
      </c>
      <c r="E32" s="18">
        <f>D32-E11</f>
        <v>79374.173115328595</v>
      </c>
      <c r="F32" s="18">
        <f>E32-F11</f>
        <v>86306.5850352171</v>
      </c>
    </row>
    <row r="33" ht="20.1" customHeight="1">
      <c r="B33" t="s" s="10">
        <v>30</v>
      </c>
      <c r="C33" s="17"/>
      <c r="D33" s="18"/>
      <c r="E33" s="18"/>
      <c r="F33" s="18">
        <v>976954389708800</v>
      </c>
    </row>
    <row r="34" ht="20.1" customHeight="1">
      <c r="B34" t="s" s="10">
        <v>30</v>
      </c>
      <c r="C34" s="17"/>
      <c r="D34" s="18"/>
      <c r="E34" s="18"/>
      <c r="F34" s="18">
        <f>F33/1000000000</f>
        <v>976954.3897088</v>
      </c>
    </row>
    <row r="35" ht="20.1" customHeight="1">
      <c r="B35" t="s" s="10">
        <v>31</v>
      </c>
      <c r="C35" s="17"/>
      <c r="D35" s="18"/>
      <c r="E35" s="18"/>
      <c r="F35" s="21">
        <f>F34/(F18+F26)</f>
        <v>0.771586590822395</v>
      </c>
    </row>
    <row r="36" ht="20.1" customHeight="1">
      <c r="B36" t="s" s="10">
        <v>32</v>
      </c>
      <c r="C36" s="17"/>
      <c r="D36" s="18"/>
      <c r="E36" s="18"/>
      <c r="F36" s="16">
        <f>-(C13+D13+E13+F13)/F34</f>
        <v>0.0275468182739203</v>
      </c>
    </row>
    <row r="37" ht="20.1" customHeight="1">
      <c r="B37" t="s" s="10">
        <v>33</v>
      </c>
      <c r="C37" s="17"/>
      <c r="D37" s="18"/>
      <c r="E37" s="18"/>
      <c r="F37" s="18">
        <f>SUM(C9:F10)</f>
        <v>45195.5812940213</v>
      </c>
    </row>
    <row r="38" ht="20.1" customHeight="1">
      <c r="B38" t="s" s="10">
        <v>28</v>
      </c>
      <c r="C38" s="17"/>
      <c r="D38" s="18"/>
      <c r="E38" s="18"/>
      <c r="F38" s="18">
        <f>F34/F37</f>
        <v>21.6161483432018</v>
      </c>
    </row>
    <row r="39" ht="20.1" customHeight="1">
      <c r="B39" t="s" s="10">
        <v>34</v>
      </c>
      <c r="C39" s="17"/>
      <c r="D39" s="18"/>
      <c r="E39" s="18"/>
      <c r="F39" s="18">
        <v>25</v>
      </c>
    </row>
    <row r="40" ht="20.1" customHeight="1">
      <c r="B40" t="s" s="10">
        <v>35</v>
      </c>
      <c r="C40" s="17"/>
      <c r="D40" s="18"/>
      <c r="E40" s="18"/>
      <c r="F40" s="18">
        <f>F37*F39</f>
        <v>1129889.53235053</v>
      </c>
    </row>
    <row r="41" ht="20.1" customHeight="1">
      <c r="B41" t="s" s="10">
        <v>36</v>
      </c>
      <c r="C41" s="17"/>
      <c r="D41" s="18"/>
      <c r="E41" s="18"/>
      <c r="F41" s="18">
        <f>F34/F43</f>
        <v>123.275001856</v>
      </c>
    </row>
    <row r="42" ht="20.1" customHeight="1">
      <c r="B42" t="s" s="10">
        <v>37</v>
      </c>
      <c r="C42" s="17"/>
      <c r="D42" s="18"/>
      <c r="E42" s="18"/>
      <c r="F42" s="18">
        <f>F40/F41</f>
        <v>9165.601422341710</v>
      </c>
    </row>
    <row r="43" ht="20.1" customHeight="1">
      <c r="B43" t="s" s="10">
        <v>38</v>
      </c>
      <c r="C43" s="17"/>
      <c r="D43" s="18"/>
      <c r="E43" s="18"/>
      <c r="F43" s="18">
        <v>7925</v>
      </c>
    </row>
    <row r="44" ht="20.1" customHeight="1">
      <c r="B44" t="s" s="10">
        <v>39</v>
      </c>
      <c r="C44" s="17"/>
      <c r="D44" s="18"/>
      <c r="E44" s="18"/>
      <c r="F44" s="16">
        <f>F42/F43-1</f>
        <v>0.156542766226083</v>
      </c>
    </row>
    <row r="45" ht="20.1" customHeight="1">
      <c r="B45" t="s" s="10">
        <v>40</v>
      </c>
      <c r="C45" s="17"/>
      <c r="D45" s="18"/>
      <c r="E45" s="18"/>
      <c r="F45" s="16">
        <f>'Sales'!C32/'Sales'!C28-1</f>
        <v>0.0393659375994759</v>
      </c>
    </row>
    <row r="46" ht="20.1" customHeight="1">
      <c r="B46" t="s" s="10">
        <v>41</v>
      </c>
      <c r="C46" s="17"/>
      <c r="D46" s="18"/>
      <c r="E46" s="18"/>
      <c r="F46" s="16">
        <f>'Sales'!F35/'Sales'!E35-1</f>
        <v>0.0307485633019136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0469" style="22" customWidth="1"/>
    <col min="2" max="2" width="10.8047" style="22" customWidth="1"/>
    <col min="3" max="5" width="10.1016" style="22" customWidth="1"/>
    <col min="6" max="12" width="11.4453" style="22" customWidth="1"/>
    <col min="13" max="16384" width="16.3516" style="22" customWidth="1"/>
  </cols>
  <sheetData>
    <row r="1" ht="29.55" customHeight="1"/>
    <row r="2" ht="27.65" customHeight="1">
      <c r="B2" t="s" s="2">
        <v>42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42</v>
      </c>
      <c r="D3" t="s" s="5">
        <v>34</v>
      </c>
      <c r="E3" t="s" s="5">
        <v>43</v>
      </c>
      <c r="F3" t="s" s="5">
        <v>19</v>
      </c>
      <c r="G3" t="s" s="5">
        <v>18</v>
      </c>
      <c r="H3" t="s" s="5">
        <v>44</v>
      </c>
      <c r="I3" t="s" s="5">
        <v>45</v>
      </c>
      <c r="J3" t="s" s="5">
        <v>6</v>
      </c>
      <c r="K3" t="s" s="5">
        <v>6</v>
      </c>
      <c r="L3" t="s" s="5">
        <v>34</v>
      </c>
    </row>
    <row r="4" ht="20.25" customHeight="1">
      <c r="B4" s="23">
        <v>2015</v>
      </c>
      <c r="C4" s="24">
        <v>14026</v>
      </c>
      <c r="D4" s="25"/>
      <c r="E4" s="25">
        <v>94</v>
      </c>
      <c r="F4" s="25">
        <v>304</v>
      </c>
      <c r="G4" s="25">
        <v>4063</v>
      </c>
      <c r="H4" s="26"/>
      <c r="I4" s="27"/>
      <c r="J4" s="27">
        <f>(F4+E4+G4-C4)/C4</f>
        <v>-0.681947811207757</v>
      </c>
      <c r="K4" s="27"/>
      <c r="L4" s="27"/>
    </row>
    <row r="5" ht="20.05" customHeight="1">
      <c r="B5" s="28"/>
      <c r="C5" s="13">
        <v>14518</v>
      </c>
      <c r="D5" s="14"/>
      <c r="E5" s="14">
        <v>480</v>
      </c>
      <c r="F5" s="14">
        <v>320</v>
      </c>
      <c r="G5" s="14">
        <v>4490</v>
      </c>
      <c r="H5" s="29"/>
      <c r="I5" s="16">
        <f>C5/C4-1</f>
        <v>0.0350777128190503</v>
      </c>
      <c r="J5" s="16">
        <f>(F5+E5+G5-C5)/C5</f>
        <v>-0.635624741699959</v>
      </c>
      <c r="K5" s="16"/>
      <c r="L5" s="16"/>
    </row>
    <row r="6" ht="20.05" customHeight="1">
      <c r="B6" s="28"/>
      <c r="C6" s="13">
        <v>14525</v>
      </c>
      <c r="D6" s="14"/>
      <c r="E6" s="14">
        <v>963</v>
      </c>
      <c r="F6" s="14">
        <v>353</v>
      </c>
      <c r="G6" s="14">
        <v>4830</v>
      </c>
      <c r="H6" s="29"/>
      <c r="I6" s="16">
        <f>C6/C5-1</f>
        <v>0.000482160077145612</v>
      </c>
      <c r="J6" s="16">
        <f>(F6+E6+G6-C6)/C6</f>
        <v>-0.576867469879518</v>
      </c>
      <c r="K6" s="16"/>
      <c r="L6" s="16"/>
    </row>
    <row r="7" ht="20.05" customHeight="1">
      <c r="B7" s="28"/>
      <c r="C7" s="13">
        <v>16024</v>
      </c>
      <c r="D7" s="14"/>
      <c r="E7" s="14">
        <v>1968</v>
      </c>
      <c r="F7" s="14">
        <v>387</v>
      </c>
      <c r="G7" s="14">
        <v>4653</v>
      </c>
      <c r="H7" s="30"/>
      <c r="I7" s="16">
        <f>C7/C6-1</f>
        <v>0.103201376936317</v>
      </c>
      <c r="J7" s="16">
        <f>(F7+E7+G7-C7)/C7</f>
        <v>-0.562656015976036</v>
      </c>
      <c r="K7" s="16"/>
      <c r="L7" s="16"/>
    </row>
    <row r="8" ht="20.05" customHeight="1">
      <c r="B8" s="31">
        <v>2016</v>
      </c>
      <c r="C8" s="13">
        <v>15418</v>
      </c>
      <c r="D8" s="14"/>
      <c r="E8" s="14">
        <v>989</v>
      </c>
      <c r="F8" s="14">
        <v>370</v>
      </c>
      <c r="G8" s="14">
        <v>4513</v>
      </c>
      <c r="H8" s="30">
        <f>C8/'Balance Sheet '!E4</f>
        <v>0.0295668716033</v>
      </c>
      <c r="I8" s="16">
        <f>C8/C7-1</f>
        <v>-0.0378182725911133</v>
      </c>
      <c r="J8" s="16">
        <f>(F8+E8+G8-C8)/C8</f>
        <v>-0.619146452198729</v>
      </c>
      <c r="K8" s="16">
        <f>AVERAGE(J5:J8)</f>
        <v>-0.598573669938561</v>
      </c>
      <c r="L8" s="16"/>
    </row>
    <row r="9" ht="20.05" customHeight="1">
      <c r="B9" s="28"/>
      <c r="C9" s="13">
        <v>15800</v>
      </c>
      <c r="D9" s="14"/>
      <c r="E9" s="14">
        <v>1017</v>
      </c>
      <c r="F9" s="14">
        <v>391</v>
      </c>
      <c r="G9" s="14">
        <v>5067</v>
      </c>
      <c r="H9" s="30">
        <f>C9/'Balance Sheet '!E5</f>
        <v>0.0297384895105948</v>
      </c>
      <c r="I9" s="16">
        <f>C9/C8-1</f>
        <v>0.0247762355688157</v>
      </c>
      <c r="J9" s="16">
        <f>(F9+E9+G9-C9)/C9</f>
        <v>-0.590189873417722</v>
      </c>
      <c r="K9" s="16">
        <f>AVERAGE(J6:J9)</f>
        <v>-0.587214952868001</v>
      </c>
      <c r="L9" s="16"/>
    </row>
    <row r="10" ht="20.05" customHeight="1">
      <c r="B10" s="28"/>
      <c r="C10" s="13">
        <v>16155</v>
      </c>
      <c r="D10" s="14"/>
      <c r="E10" s="14">
        <v>1132</v>
      </c>
      <c r="F10" s="14">
        <v>415</v>
      </c>
      <c r="G10" s="14">
        <v>5558</v>
      </c>
      <c r="H10" s="30">
        <f>C10/'Balance Sheet '!E6</f>
        <v>0.0287246980839533</v>
      </c>
      <c r="I10" s="16">
        <f>C10/C9-1</f>
        <v>0.0224683544303797</v>
      </c>
      <c r="J10" s="16">
        <f>(F10+E10+G10-C10)/C10</f>
        <v>-0.560198081089446</v>
      </c>
      <c r="K10" s="16">
        <f>AVERAGE(J7:J10)</f>
        <v>-0.583047605670483</v>
      </c>
      <c r="L10" s="16"/>
    </row>
    <row r="11" ht="20.05" customHeight="1">
      <c r="B11" s="28"/>
      <c r="C11" s="13">
        <v>16758</v>
      </c>
      <c r="D11" s="14"/>
      <c r="E11" s="14">
        <v>1423</v>
      </c>
      <c r="F11" s="14">
        <v>466</v>
      </c>
      <c r="G11" s="14">
        <v>5494</v>
      </c>
      <c r="H11" s="30">
        <f>C11/'Balance Sheet '!E7</f>
        <v>0.0292901874900592</v>
      </c>
      <c r="I11" s="16">
        <f>C11/C10-1</f>
        <v>0.0373259052924791</v>
      </c>
      <c r="J11" s="16">
        <f>(F11+E11+G11-C11)/C11</f>
        <v>-0.559434300035804</v>
      </c>
      <c r="K11" s="16">
        <f>AVERAGE(J8:J11)</f>
        <v>-0.582242176685425</v>
      </c>
      <c r="L11" s="16"/>
    </row>
    <row r="12" ht="20.05" customHeight="1">
      <c r="B12" s="31">
        <v>2017</v>
      </c>
      <c r="C12" s="13">
        <v>16369</v>
      </c>
      <c r="D12" s="14"/>
      <c r="E12" s="14">
        <v>248</v>
      </c>
      <c r="F12" s="14">
        <v>411</v>
      </c>
      <c r="G12" s="14">
        <v>4989</v>
      </c>
      <c r="H12" s="30">
        <f>C12/'Balance Sheet '!E8</f>
        <v>0.0271238510599164</v>
      </c>
      <c r="I12" s="16">
        <f>C12/C11-1</f>
        <v>-0.0232127938894856</v>
      </c>
      <c r="J12" s="16">
        <f>(F12+E12+G12-C12)/C12</f>
        <v>-0.654957541694667</v>
      </c>
      <c r="K12" s="16">
        <f>AVERAGE(J9:J12)</f>
        <v>-0.5911949490594099</v>
      </c>
      <c r="L12" s="16"/>
    </row>
    <row r="13" ht="20.05" customHeight="1">
      <c r="B13" s="28"/>
      <c r="C13" s="13">
        <v>16956</v>
      </c>
      <c r="D13" s="14"/>
      <c r="E13" s="14">
        <v>688</v>
      </c>
      <c r="F13" s="14">
        <v>448</v>
      </c>
      <c r="G13" s="14">
        <v>5549</v>
      </c>
      <c r="H13" s="30">
        <f>C13/'Balance Sheet '!E9</f>
        <v>0.0273413753569649</v>
      </c>
      <c r="I13" s="16">
        <f>C13/C12-1</f>
        <v>0.035860467957725</v>
      </c>
      <c r="J13" s="16">
        <f>(F13+E13+G13-C13)/C13</f>
        <v>-0.605744279311158</v>
      </c>
      <c r="K13" s="16">
        <f>AVERAGE(J10:J13)</f>
        <v>-0.595083550532769</v>
      </c>
      <c r="L13" s="16"/>
    </row>
    <row r="14" ht="20.05" customHeight="1">
      <c r="B14" s="28"/>
      <c r="C14" s="13">
        <v>17508</v>
      </c>
      <c r="D14" s="14"/>
      <c r="E14" s="14">
        <v>893</v>
      </c>
      <c r="F14" s="14">
        <v>430</v>
      </c>
      <c r="G14" s="14">
        <v>6313</v>
      </c>
      <c r="H14" s="30">
        <f>C14/'Balance Sheet '!E10</f>
        <v>0.0268986782651981</v>
      </c>
      <c r="I14" s="16">
        <f>C14/C13-1</f>
        <v>0.032554847841472</v>
      </c>
      <c r="J14" s="16">
        <f>(F14+E14+G14-C14)/C14</f>
        <v>-0.563856522732465</v>
      </c>
      <c r="K14" s="16">
        <f>AVERAGE(J11:J14)</f>
        <v>-0.595998160943524</v>
      </c>
      <c r="L14" s="16"/>
    </row>
    <row r="15" ht="20.05" customHeight="1">
      <c r="B15" s="28"/>
      <c r="C15" s="13">
        <v>18090</v>
      </c>
      <c r="D15" s="14"/>
      <c r="E15" s="14">
        <v>804</v>
      </c>
      <c r="F15" s="14">
        <v>532</v>
      </c>
      <c r="G15" s="14">
        <v>6470</v>
      </c>
      <c r="H15" s="30">
        <f>C15/'Balance Sheet '!E11</f>
        <v>0.0272712882630948</v>
      </c>
      <c r="I15" s="16">
        <f>C15/C14-1</f>
        <v>0.0332419465387252</v>
      </c>
      <c r="J15" s="16">
        <f>(F15+E15+G15-C15)/C15</f>
        <v>-0.56849087893864</v>
      </c>
      <c r="K15" s="16">
        <f>AVERAGE(J12:J15)</f>
        <v>-0.598262305669233</v>
      </c>
      <c r="L15" s="16"/>
    </row>
    <row r="16" ht="20.05" customHeight="1">
      <c r="B16" s="31">
        <v>2018</v>
      </c>
      <c r="C16" s="13">
        <v>17332</v>
      </c>
      <c r="D16" s="14"/>
      <c r="E16" s="14">
        <v>188</v>
      </c>
      <c r="F16" s="14">
        <v>479</v>
      </c>
      <c r="G16" s="14">
        <v>5509</v>
      </c>
      <c r="H16" s="30">
        <f>C16/'Balance Sheet '!E12</f>
        <v>0.0256151054044148</v>
      </c>
      <c r="I16" s="16">
        <f>C16/C15-1</f>
        <v>-0.0419016030956329</v>
      </c>
      <c r="J16" s="16">
        <f>(F16+E16+G16-C16)/C16</f>
        <v>-0.643664897299792</v>
      </c>
      <c r="K16" s="16">
        <f>AVERAGE(J13:J16)</f>
        <v>-0.5954391445705139</v>
      </c>
      <c r="L16" s="16"/>
    </row>
    <row r="17" ht="20.05" customHeight="1">
      <c r="B17" s="28"/>
      <c r="C17" s="13">
        <v>17504</v>
      </c>
      <c r="D17" s="14"/>
      <c r="E17" s="14">
        <v>638</v>
      </c>
      <c r="F17" s="14">
        <v>524</v>
      </c>
      <c r="G17" s="14">
        <v>5913</v>
      </c>
      <c r="H17" s="30">
        <f>C17/'Balance Sheet '!E13</f>
        <v>0.0255872391246194</v>
      </c>
      <c r="I17" s="16">
        <f>C17/C16-1</f>
        <v>0.009923840295407341</v>
      </c>
      <c r="J17" s="16">
        <f>(F17+E17+G17-C17)/C17</f>
        <v>-0.595806672760512</v>
      </c>
      <c r="K17" s="16">
        <f>AVERAGE(J14:J17)</f>
        <v>-0.592954742932852</v>
      </c>
      <c r="L17" s="16"/>
    </row>
    <row r="18" ht="20.05" customHeight="1">
      <c r="B18" s="28"/>
      <c r="C18" s="13">
        <v>19417</v>
      </c>
      <c r="D18" s="14"/>
      <c r="E18" s="14">
        <v>921</v>
      </c>
      <c r="F18" s="14">
        <v>531</v>
      </c>
      <c r="G18" s="14">
        <v>7088</v>
      </c>
      <c r="H18" s="30">
        <f>C18/'Balance Sheet '!E14</f>
        <v>0.0278510498828842</v>
      </c>
      <c r="I18" s="16">
        <f>C18/C17-1</f>
        <v>0.109289305301645</v>
      </c>
      <c r="J18" s="16">
        <f>(F18+E18+G18-C18)/C18</f>
        <v>-0.560179224390998</v>
      </c>
      <c r="K18" s="16">
        <f>AVERAGE(J15:J18)</f>
        <v>-0.592035418347486</v>
      </c>
      <c r="L18" s="16"/>
    </row>
    <row r="19" ht="20.05" customHeight="1">
      <c r="B19" s="28"/>
      <c r="C19" s="13">
        <v>20258</v>
      </c>
      <c r="D19" s="14"/>
      <c r="E19" s="14">
        <v>930</v>
      </c>
      <c r="F19" s="14">
        <v>548</v>
      </c>
      <c r="G19" s="14">
        <v>7342</v>
      </c>
      <c r="H19" s="30">
        <f>C19/'Balance Sheet '!E15</f>
        <v>0.0281531985385574</v>
      </c>
      <c r="I19" s="16">
        <f>C19/C18-1</f>
        <v>0.0433125611577484</v>
      </c>
      <c r="J19" s="16">
        <f>(F19+E19+G19-C19)/C19</f>
        <v>-0.564616447823082</v>
      </c>
      <c r="K19" s="16">
        <f>AVERAGE(J16:J19)</f>
        <v>-0.591066810568596</v>
      </c>
      <c r="L19" s="16"/>
    </row>
    <row r="20" ht="20.05" customHeight="1">
      <c r="B20" s="31">
        <v>2019</v>
      </c>
      <c r="C20" s="13">
        <v>19948</v>
      </c>
      <c r="D20" s="14"/>
      <c r="E20" s="14">
        <v>982</v>
      </c>
      <c r="F20" s="14">
        <v>475</v>
      </c>
      <c r="G20" s="14">
        <v>6061</v>
      </c>
      <c r="H20" s="30">
        <f>C20/'Balance Sheet '!E16</f>
        <v>0.0272382679367299</v>
      </c>
      <c r="I20" s="16">
        <f>C20/C19-1</f>
        <v>-0.0153025965050844</v>
      </c>
      <c r="J20" s="16">
        <f>(F20+E20+G20-C20)/C20</f>
        <v>-0.623120112291959</v>
      </c>
      <c r="K20" s="16">
        <f>AVERAGE(J17:J20)</f>
        <v>-0.585930614316638</v>
      </c>
      <c r="L20" s="16"/>
    </row>
    <row r="21" ht="20.05" customHeight="1">
      <c r="B21" s="28"/>
      <c r="C21" s="13">
        <v>20969</v>
      </c>
      <c r="D21" s="14"/>
      <c r="E21" s="14">
        <v>1465</v>
      </c>
      <c r="F21" s="14">
        <v>474</v>
      </c>
      <c r="G21" s="14">
        <v>6801</v>
      </c>
      <c r="H21" s="30">
        <f>C21/'Balance Sheet '!E17</f>
        <v>0.0273009325985035</v>
      </c>
      <c r="I21" s="16">
        <f>C21/C20-1</f>
        <v>0.0511830759975937</v>
      </c>
      <c r="J21" s="16">
        <f>(F21+E21+G21-C21)/C21</f>
        <v>-0.583194239114884</v>
      </c>
      <c r="K21" s="16">
        <f>AVERAGE(J18:J21)</f>
        <v>-0.582777505905231</v>
      </c>
      <c r="L21" s="16"/>
    </row>
    <row r="22" ht="20.05" customHeight="1">
      <c r="B22" s="28"/>
      <c r="C22" s="13">
        <v>21710</v>
      </c>
      <c r="D22" s="14"/>
      <c r="E22" s="14">
        <v>1049</v>
      </c>
      <c r="F22" s="14">
        <v>483</v>
      </c>
      <c r="G22" s="14">
        <v>8061</v>
      </c>
      <c r="H22" s="30">
        <f>C22/'Balance Sheet '!E18</f>
        <v>0.0275674488237169</v>
      </c>
      <c r="I22" s="16">
        <f>C22/C21-1</f>
        <v>0.0353378797272164</v>
      </c>
      <c r="J22" s="16">
        <f>(F22+E22+G22-C22)/C22</f>
        <v>-0.558129894058038</v>
      </c>
      <c r="K22" s="16">
        <f>AVERAGE(J19:J22)</f>
        <v>-0.582265173321991</v>
      </c>
      <c r="L22" s="16"/>
    </row>
    <row r="23" ht="20.05" customHeight="1">
      <c r="B23" s="28"/>
      <c r="C23" s="13">
        <v>22355.7</v>
      </c>
      <c r="D23" s="14">
        <v>22144.2</v>
      </c>
      <c r="E23" s="14">
        <v>1095</v>
      </c>
      <c r="F23" s="14">
        <v>584</v>
      </c>
      <c r="G23" s="14">
        <v>7646.9</v>
      </c>
      <c r="H23" s="30">
        <f>C23/'Balance Sheet '!E19</f>
        <v>0.0278094294586866</v>
      </c>
      <c r="I23" s="16">
        <f>C23/C22-1</f>
        <v>0.0297420543528328</v>
      </c>
      <c r="J23" s="16">
        <f>(F23+E23+G23-C23)/C23</f>
        <v>-0.582840170515797</v>
      </c>
      <c r="K23" s="16">
        <f>AVERAGE(J20:J23)</f>
        <v>-0.58682110399517</v>
      </c>
      <c r="L23" s="16"/>
    </row>
    <row r="24" ht="20.05" customHeight="1">
      <c r="B24" s="31">
        <v>2020</v>
      </c>
      <c r="C24" s="13">
        <v>22724</v>
      </c>
      <c r="D24" s="14">
        <v>22560.621944748</v>
      </c>
      <c r="E24" s="14">
        <v>2179</v>
      </c>
      <c r="F24" s="14">
        <v>603</v>
      </c>
      <c r="G24" s="14">
        <v>6582</v>
      </c>
      <c r="H24" s="30">
        <f>C24/'Balance Sheet '!E20</f>
        <v>0.0263359429760311</v>
      </c>
      <c r="I24" s="16">
        <f>C24/C23-1</f>
        <v>0.0164745456416037</v>
      </c>
      <c r="J24" s="16">
        <f>(F24+E24+G24-C24)/C24</f>
        <v>-0.587924661151206</v>
      </c>
      <c r="K24" s="16">
        <f>AVERAGE(J21:J24)</f>
        <v>-0.578022241209981</v>
      </c>
      <c r="L24" s="16"/>
    </row>
    <row r="25" ht="20.05" customHeight="1">
      <c r="B25" s="28"/>
      <c r="C25" s="13">
        <v>20924</v>
      </c>
      <c r="D25" s="14">
        <v>23178.48</v>
      </c>
      <c r="E25" s="14">
        <v>4361</v>
      </c>
      <c r="F25" s="14">
        <v>593</v>
      </c>
      <c r="G25" s="14">
        <v>5663</v>
      </c>
      <c r="H25" s="30">
        <f>C25/'Balance Sheet '!E21</f>
        <v>0.0237268208781509</v>
      </c>
      <c r="I25" s="16">
        <f>C25/C24-1</f>
        <v>-0.07921140644252769</v>
      </c>
      <c r="J25" s="16">
        <f>(F25+E25+G25-C25)/C25</f>
        <v>-0.49259223857771</v>
      </c>
      <c r="K25" s="16">
        <f>AVERAGE(J22:J25)</f>
        <v>-0.555371741075688</v>
      </c>
      <c r="L25" s="16"/>
    </row>
    <row r="26" ht="20.05" customHeight="1">
      <c r="B26" s="28"/>
      <c r="C26" s="13">
        <v>21110</v>
      </c>
      <c r="D26" s="14">
        <v>22166.705138477</v>
      </c>
      <c r="E26" s="14">
        <v>2612</v>
      </c>
      <c r="F26" s="14">
        <v>643</v>
      </c>
      <c r="G26" s="14">
        <v>7800</v>
      </c>
      <c r="H26" s="30">
        <f>C26/'Balance Sheet '!E22</f>
        <v>0.023212489836976</v>
      </c>
      <c r="I26" s="16">
        <f>C26/C25-1</f>
        <v>0.008889313706748231</v>
      </c>
      <c r="J26" s="16">
        <f>(F26+E26+G26-C26)/C26</f>
        <v>-0.476314542870677</v>
      </c>
      <c r="K26" s="16">
        <f>AVERAGE(J23:J26)</f>
        <v>-0.534917903278848</v>
      </c>
      <c r="L26" s="16"/>
    </row>
    <row r="27" ht="20.05" customHeight="1">
      <c r="B27" s="28"/>
      <c r="C27" s="13">
        <v>21649</v>
      </c>
      <c r="D27" s="14">
        <v>23901.6737355194</v>
      </c>
      <c r="E27" s="14">
        <v>2476</v>
      </c>
      <c r="F27" s="14">
        <v>706</v>
      </c>
      <c r="G27" s="14">
        <v>7102</v>
      </c>
      <c r="H27" s="30">
        <f>C27/'Balance Sheet '!E23</f>
        <v>0.0223383111374162</v>
      </c>
      <c r="I27" s="16">
        <f>C27/C26-1</f>
        <v>0.0255329227854098</v>
      </c>
      <c r="J27" s="16">
        <f>(F27+E27+G27-C27)/C27</f>
        <v>-0.5249665111552499</v>
      </c>
      <c r="K27" s="16">
        <f>AVERAGE(J24:J27)</f>
        <v>-0.520449488438711</v>
      </c>
      <c r="L27" s="16"/>
    </row>
    <row r="28" ht="20.05" customHeight="1">
      <c r="B28" s="31">
        <v>2021</v>
      </c>
      <c r="C28" s="17">
        <f>16520.9+5155.2</f>
        <v>21676.1</v>
      </c>
      <c r="D28" s="18">
        <v>22082</v>
      </c>
      <c r="E28" s="14">
        <v>3253.9</v>
      </c>
      <c r="F28" s="18">
        <v>570.5</v>
      </c>
      <c r="G28" s="18">
        <v>6585</v>
      </c>
      <c r="H28" s="30">
        <f>C28/'Balance Sheet '!E24</f>
        <v>0.0215297814522722</v>
      </c>
      <c r="I28" s="16">
        <f>C28/C27-1</f>
        <v>0.00125178992101252</v>
      </c>
      <c r="J28" s="16">
        <f>(F28+E28+G28-C28)/C28</f>
        <v>-0.519775236320187</v>
      </c>
      <c r="K28" s="16">
        <f>AVERAGE(J25:J28)</f>
        <v>-0.503412132230956</v>
      </c>
      <c r="L28" s="16"/>
    </row>
    <row r="29" ht="20.05" customHeight="1">
      <c r="B29" s="28"/>
      <c r="C29" s="17">
        <v>21585.9</v>
      </c>
      <c r="D29" s="18">
        <v>22810</v>
      </c>
      <c r="E29" s="14">
        <v>3292.1</v>
      </c>
      <c r="F29" s="18">
        <v>570.5</v>
      </c>
      <c r="G29" s="18">
        <v>7222</v>
      </c>
      <c r="H29" s="30">
        <f>C29/'Balance Sheet '!E25</f>
        <v>0.0222120990541138</v>
      </c>
      <c r="I29" s="16">
        <f>C29/C28-1</f>
        <v>-0.00416126517224039</v>
      </c>
      <c r="J29" s="16">
        <f>(F29+E29+G29-C29)/C29</f>
        <v>-0.486488865416777</v>
      </c>
      <c r="K29" s="16">
        <f>AVERAGE(J26:J29)</f>
        <v>-0.501886288940723</v>
      </c>
      <c r="L29" s="16"/>
    </row>
    <row r="30" ht="20.05" customHeight="1">
      <c r="B30" s="28"/>
      <c r="C30" s="17">
        <f>49138.6+16069.2-SUM(C28:C29)</f>
        <v>21945.8</v>
      </c>
      <c r="D30" s="18">
        <v>21802</v>
      </c>
      <c r="E30" s="14">
        <f>7649-SUM(E28:E29)</f>
        <v>1103</v>
      </c>
      <c r="F30" s="18">
        <f>1768.4-SUM(F28:F29)</f>
        <v>627.4</v>
      </c>
      <c r="G30" s="18">
        <f>23211.7-SUM(G28:G29)</f>
        <v>9404.700000000001</v>
      </c>
      <c r="H30" s="30">
        <f>C30/'Balance Sheet '!E26</f>
        <v>0.0219540942568102</v>
      </c>
      <c r="I30" s="16">
        <f>C30/C29-1</f>
        <v>0.0166729207491928</v>
      </c>
      <c r="J30" s="16">
        <f>(F30+E30+G30-C30)/C30</f>
        <v>-0.492609064148949</v>
      </c>
      <c r="K30" s="16">
        <f>AVERAGE(J27:J30)</f>
        <v>-0.505959919260291</v>
      </c>
      <c r="L30" s="16"/>
    </row>
    <row r="31" ht="20.05" customHeight="1">
      <c r="B31" s="28"/>
      <c r="C31" s="17">
        <f>65627+22338-SUM(C28:C30)</f>
        <v>22757.2</v>
      </c>
      <c r="D31" s="14">
        <v>22823.632</v>
      </c>
      <c r="E31" s="14">
        <f>9324-SUM(E28:E30)</f>
        <v>1675</v>
      </c>
      <c r="F31" s="18">
        <f>2019.3+(2022.7-1726)-SUM(F28:F30)</f>
        <v>547.6</v>
      </c>
      <c r="G31" s="18">
        <f>31440.2-SUM(G28:G30)</f>
        <v>8228.5</v>
      </c>
      <c r="H31" s="30">
        <f>C31/'Balance Sheet '!E27</f>
        <v>0.021651315745659</v>
      </c>
      <c r="I31" s="16">
        <f>C31/C30-1</f>
        <v>0.0369729059774535</v>
      </c>
      <c r="J31" s="16">
        <f>(F31+E31+G31-C31)/C31</f>
        <v>-0.540756332061941</v>
      </c>
      <c r="K31" s="16">
        <f>AVERAGE(J28:J31)</f>
        <v>-0.509907374486964</v>
      </c>
      <c r="L31" s="16"/>
    </row>
    <row r="32" ht="20.05" customHeight="1">
      <c r="B32" s="31">
        <v>2022</v>
      </c>
      <c r="C32" s="17">
        <f>16397.4+6132</f>
        <v>22529.4</v>
      </c>
      <c r="D32" s="14">
        <v>22529.628</v>
      </c>
      <c r="E32" s="18">
        <v>2818</v>
      </c>
      <c r="F32" s="18">
        <v>576</v>
      </c>
      <c r="G32" s="18">
        <v>8067.7</v>
      </c>
      <c r="H32" s="30">
        <f>C32/'Balance Sheet '!E28</f>
        <v>0.0204414360849679</v>
      </c>
      <c r="I32" s="16">
        <f>C32/C31-1</f>
        <v>-0.0100100188072346</v>
      </c>
      <c r="J32" s="16">
        <f>(F32+E32+G32-C32)/C32</f>
        <v>-0.491255870107504</v>
      </c>
      <c r="K32" s="16">
        <f>AVERAGE(J29:J32)</f>
        <v>-0.502777532933793</v>
      </c>
      <c r="L32" s="16">
        <f>K32</f>
        <v>-0.502777532933793</v>
      </c>
    </row>
    <row r="33" ht="20.05" customHeight="1">
      <c r="B33" s="28"/>
      <c r="C33" s="32"/>
      <c r="D33" s="14">
        <f>'Model'!C6</f>
        <v>22979.988</v>
      </c>
      <c r="E33" s="33"/>
      <c r="F33" s="16"/>
      <c r="G33" s="18"/>
      <c r="H33" s="33"/>
      <c r="I33" s="33"/>
      <c r="J33" s="33"/>
      <c r="K33" s="33"/>
      <c r="L33" s="12">
        <f>'Model'!C7</f>
        <v>-0.509907374486964</v>
      </c>
    </row>
    <row r="34" ht="20.05" customHeight="1">
      <c r="B34" s="28"/>
      <c r="C34" s="32"/>
      <c r="D34" s="14">
        <f>'Model'!D6</f>
        <v>23899.18752</v>
      </c>
      <c r="E34" s="33"/>
      <c r="F34" s="18"/>
      <c r="G34" s="18"/>
      <c r="H34" s="16"/>
      <c r="I34" s="33"/>
      <c r="J34" s="33"/>
      <c r="K34" s="33"/>
      <c r="L34" s="33"/>
    </row>
    <row r="35" ht="20.05" customHeight="1">
      <c r="B35" s="28"/>
      <c r="C35" s="32"/>
      <c r="D35" s="14">
        <f>'Model'!E6</f>
        <v>24855.1550208</v>
      </c>
      <c r="E35" s="14">
        <f>SUM(C23:C32)</f>
        <v>219257.1</v>
      </c>
      <c r="F35" s="14">
        <f>SUM(D23:D32)</f>
        <v>225998.940818744</v>
      </c>
      <c r="G35" s="18"/>
      <c r="H35" s="33"/>
      <c r="I35" s="33"/>
      <c r="J35" s="33"/>
      <c r="K35" s="33"/>
      <c r="L35" s="33"/>
    </row>
    <row r="36" ht="20.05" customHeight="1">
      <c r="B36" s="31">
        <v>2023</v>
      </c>
      <c r="C36" s="32"/>
      <c r="D36" s="14">
        <f>'Model'!F6</f>
        <v>24606.603470592</v>
      </c>
      <c r="E36" s="33"/>
      <c r="F36" s="18"/>
      <c r="G36" s="18"/>
      <c r="H36" s="33"/>
      <c r="I36" s="33"/>
      <c r="J36" s="33"/>
      <c r="K36" s="33"/>
      <c r="L36" s="33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71094" style="34" customWidth="1"/>
    <col min="2" max="15" width="11.0625" style="34" customWidth="1"/>
    <col min="16" max="16384" width="16.3516" style="34" customWidth="1"/>
  </cols>
  <sheetData>
    <row r="1" ht="34.75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56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25</v>
      </c>
      <c r="H3" t="s" s="5">
        <v>26</v>
      </c>
      <c r="I3" t="s" s="5">
        <v>10</v>
      </c>
      <c r="J3" t="s" s="5">
        <v>51</v>
      </c>
      <c r="K3" t="s" s="5">
        <v>33</v>
      </c>
      <c r="L3" t="s" s="5">
        <v>34</v>
      </c>
      <c r="M3" t="s" s="5">
        <v>29</v>
      </c>
      <c r="N3" t="s" s="5">
        <v>34</v>
      </c>
      <c r="O3" s="35"/>
    </row>
    <row r="4" ht="20.25" customHeight="1">
      <c r="B4" s="23">
        <v>2015</v>
      </c>
      <c r="C4" s="36"/>
      <c r="D4" s="37"/>
      <c r="E4" s="37">
        <v>18312</v>
      </c>
      <c r="F4" s="37">
        <v>-7841</v>
      </c>
      <c r="G4" s="37"/>
      <c r="H4" s="37"/>
      <c r="I4" s="37">
        <v>-215</v>
      </c>
      <c r="J4" s="38"/>
      <c r="K4" s="38"/>
      <c r="L4" s="37"/>
      <c r="M4" s="37">
        <f>-I4</f>
        <v>215</v>
      </c>
      <c r="N4" s="37"/>
      <c r="O4" s="37">
        <v>1</v>
      </c>
    </row>
    <row r="5" ht="20.05" customHeight="1">
      <c r="B5" s="28"/>
      <c r="C5" s="17"/>
      <c r="D5" s="18"/>
      <c r="E5" s="18">
        <v>3215</v>
      </c>
      <c r="F5" s="18">
        <v>24771</v>
      </c>
      <c r="G5" s="18"/>
      <c r="H5" s="18"/>
      <c r="I5" s="18">
        <v>-2707</v>
      </c>
      <c r="J5" s="39"/>
      <c r="K5" s="39"/>
      <c r="L5" s="18"/>
      <c r="M5" s="18">
        <f>-I5+M4</f>
        <v>2922</v>
      </c>
      <c r="N5" s="18"/>
      <c r="O5" s="18">
        <f>1+O4</f>
        <v>2</v>
      </c>
    </row>
    <row r="6" ht="20.05" customHeight="1">
      <c r="B6" s="28"/>
      <c r="C6" s="17"/>
      <c r="D6" s="18"/>
      <c r="E6" s="18">
        <v>3590</v>
      </c>
      <c r="F6" s="18">
        <v>-458</v>
      </c>
      <c r="G6" s="18"/>
      <c r="H6" s="18"/>
      <c r="I6" s="18">
        <v>-385</v>
      </c>
      <c r="J6" s="39"/>
      <c r="K6" s="39"/>
      <c r="L6" s="18"/>
      <c r="M6" s="18">
        <f>-I6+M5</f>
        <v>3307</v>
      </c>
      <c r="N6" s="18"/>
      <c r="O6" s="18">
        <f>1+O5</f>
        <v>3</v>
      </c>
    </row>
    <row r="7" ht="20.05" customHeight="1">
      <c r="B7" s="28"/>
      <c r="C7" s="17"/>
      <c r="D7" s="18"/>
      <c r="E7" s="18">
        <v>4342</v>
      </c>
      <c r="F7" s="18">
        <v>2464</v>
      </c>
      <c r="G7" s="18"/>
      <c r="H7" s="18"/>
      <c r="I7" s="18">
        <v>-1447</v>
      </c>
      <c r="J7" s="39"/>
      <c r="K7" s="39"/>
      <c r="L7" s="18"/>
      <c r="M7" s="18">
        <f>-I7+M6</f>
        <v>4754</v>
      </c>
      <c r="N7" s="18"/>
      <c r="O7" s="18">
        <f>1+O6</f>
        <v>4</v>
      </c>
    </row>
    <row r="8" ht="20.05" customHeight="1">
      <c r="B8" s="31">
        <v>2016</v>
      </c>
      <c r="C8" s="17"/>
      <c r="D8" s="18"/>
      <c r="E8" s="18">
        <v>-728</v>
      </c>
      <c r="F8" s="18">
        <v>-40576</v>
      </c>
      <c r="G8" s="18"/>
      <c r="H8" s="18"/>
      <c r="I8" s="18">
        <v>76</v>
      </c>
      <c r="J8" s="18"/>
      <c r="K8" s="33"/>
      <c r="L8" s="18"/>
      <c r="M8" s="18">
        <f>-I8+M7</f>
        <v>4678</v>
      </c>
      <c r="N8" s="18"/>
      <c r="O8" s="18">
        <f>1+O7</f>
        <v>5</v>
      </c>
    </row>
    <row r="9" ht="20.05" customHeight="1">
      <c r="B9" s="28"/>
      <c r="C9" s="17"/>
      <c r="D9" s="18"/>
      <c r="E9" s="18">
        <v>26346</v>
      </c>
      <c r="F9" s="18">
        <v>-11245</v>
      </c>
      <c r="G9" s="18"/>
      <c r="H9" s="18"/>
      <c r="I9" s="18">
        <v>-2188</v>
      </c>
      <c r="J9" s="18"/>
      <c r="K9" s="33"/>
      <c r="L9" s="18"/>
      <c r="M9" s="18">
        <f>-I9+M8</f>
        <v>6866</v>
      </c>
      <c r="N9" s="18"/>
      <c r="O9" s="18">
        <f>1+O8</f>
        <v>6</v>
      </c>
    </row>
    <row r="10" ht="20.05" customHeight="1">
      <c r="B10" s="28"/>
      <c r="C10" s="17"/>
      <c r="D10" s="18"/>
      <c r="E10" s="18">
        <v>4173</v>
      </c>
      <c r="F10" s="18">
        <v>-25872</v>
      </c>
      <c r="G10" s="18"/>
      <c r="H10" s="18"/>
      <c r="I10" s="18">
        <v>24558</v>
      </c>
      <c r="J10" s="18"/>
      <c r="K10" s="33"/>
      <c r="L10" s="18"/>
      <c r="M10" s="18">
        <f>-I10+M9</f>
        <v>-17692</v>
      </c>
      <c r="N10" s="18"/>
      <c r="O10" s="18">
        <f>1+O9</f>
        <v>7</v>
      </c>
    </row>
    <row r="11" ht="20.05" customHeight="1">
      <c r="B11" s="28"/>
      <c r="C11" s="17"/>
      <c r="D11" s="18"/>
      <c r="E11" s="18">
        <v>15877</v>
      </c>
      <c r="F11" s="18">
        <v>17097</v>
      </c>
      <c r="G11" s="18"/>
      <c r="H11" s="18"/>
      <c r="I11" s="18">
        <v>-26109</v>
      </c>
      <c r="J11" s="18"/>
      <c r="K11" s="33"/>
      <c r="L11" s="18"/>
      <c r="M11" s="18">
        <f>-I11+M10</f>
        <v>8417</v>
      </c>
      <c r="N11" s="18"/>
      <c r="O11" s="18">
        <f>1+O10</f>
        <v>8</v>
      </c>
    </row>
    <row r="12" ht="20.05" customHeight="1">
      <c r="B12" s="31">
        <v>2017</v>
      </c>
      <c r="C12" s="17">
        <v>5837</v>
      </c>
      <c r="D12" s="18">
        <v>-225</v>
      </c>
      <c r="E12" s="18">
        <v>1706</v>
      </c>
      <c r="F12" s="18">
        <v>-19866</v>
      </c>
      <c r="G12" s="18"/>
      <c r="H12" s="18"/>
      <c r="I12" s="18">
        <v>-337</v>
      </c>
      <c r="J12" s="18">
        <f>C12+D12</f>
        <v>5612</v>
      </c>
      <c r="K12" s="33"/>
      <c r="L12" s="18"/>
      <c r="M12" s="18">
        <f>-I12+M11</f>
        <v>8754</v>
      </c>
      <c r="N12" s="18"/>
      <c r="O12" s="18">
        <f>1+O11</f>
        <v>9</v>
      </c>
    </row>
    <row r="13" ht="20.05" customHeight="1">
      <c r="B13" s="28"/>
      <c r="C13" s="17">
        <v>5261</v>
      </c>
      <c r="D13" s="18">
        <v>-451</v>
      </c>
      <c r="E13" s="18">
        <v>33227</v>
      </c>
      <c r="F13" s="18">
        <v>3615</v>
      </c>
      <c r="G13" s="18"/>
      <c r="H13" s="18"/>
      <c r="I13" s="18">
        <v>-4907</v>
      </c>
      <c r="J13" s="18">
        <f>C13+D13</f>
        <v>4810</v>
      </c>
      <c r="K13" s="33"/>
      <c r="L13" s="18"/>
      <c r="M13" s="18">
        <f>-I13+M12</f>
        <v>13661</v>
      </c>
      <c r="N13" s="18"/>
      <c r="O13" s="18">
        <f>1+O12</f>
        <v>10</v>
      </c>
    </row>
    <row r="14" ht="20.05" customHeight="1">
      <c r="B14" s="28"/>
      <c r="C14" s="17">
        <v>7566</v>
      </c>
      <c r="D14" s="18">
        <v>-361</v>
      </c>
      <c r="E14" s="18">
        <v>-40400</v>
      </c>
      <c r="F14" s="18">
        <v>10807</v>
      </c>
      <c r="G14" s="18"/>
      <c r="H14" s="18"/>
      <c r="I14" s="18">
        <v>549</v>
      </c>
      <c r="J14" s="18">
        <f>C14+D14</f>
        <v>7205</v>
      </c>
      <c r="K14" s="33"/>
      <c r="L14" s="18"/>
      <c r="M14" s="18">
        <f>-I14+M13</f>
        <v>13112</v>
      </c>
      <c r="N14" s="18"/>
      <c r="O14" s="18">
        <f>1+O13</f>
        <v>11</v>
      </c>
    </row>
    <row r="15" ht="20.05" customHeight="1">
      <c r="B15" s="28"/>
      <c r="C15" s="17">
        <v>5121</v>
      </c>
      <c r="D15" s="18">
        <v>-700</v>
      </c>
      <c r="E15" s="18">
        <v>15126</v>
      </c>
      <c r="F15" s="18">
        <v>-15176</v>
      </c>
      <c r="G15" s="18"/>
      <c r="H15" s="18"/>
      <c r="I15" s="18">
        <v>-1961</v>
      </c>
      <c r="J15" s="18">
        <f>C15+D15</f>
        <v>4421</v>
      </c>
      <c r="K15" s="33"/>
      <c r="L15" s="18"/>
      <c r="M15" s="18">
        <f>-I15+M14</f>
        <v>15073</v>
      </c>
      <c r="N15" s="18"/>
      <c r="O15" s="18">
        <f>1+O14</f>
        <v>12</v>
      </c>
    </row>
    <row r="16" ht="20.05" customHeight="1">
      <c r="B16" s="31">
        <v>2018</v>
      </c>
      <c r="C16" s="17">
        <v>5769</v>
      </c>
      <c r="D16" s="18">
        <v>-278</v>
      </c>
      <c r="E16" s="18">
        <v>-881</v>
      </c>
      <c r="F16" s="18">
        <v>-1561</v>
      </c>
      <c r="G16" s="18"/>
      <c r="H16" s="18"/>
      <c r="I16" s="18">
        <v>-1324</v>
      </c>
      <c r="J16" s="18">
        <f>C16+D16</f>
        <v>5491</v>
      </c>
      <c r="K16" s="18">
        <f>AVERAGE(J13:J16)</f>
        <v>5481.75</v>
      </c>
      <c r="L16" s="18"/>
      <c r="M16" s="18">
        <f>-I16+M15</f>
        <v>16397</v>
      </c>
      <c r="N16" s="18"/>
      <c r="O16" s="18">
        <f>1+O15</f>
        <v>13</v>
      </c>
    </row>
    <row r="17" ht="20.05" customHeight="1">
      <c r="B17" s="28"/>
      <c r="C17" s="17">
        <v>6111</v>
      </c>
      <c r="D17" s="18">
        <v>-420</v>
      </c>
      <c r="E17" s="18">
        <v>11192</v>
      </c>
      <c r="F17" s="18">
        <v>17597</v>
      </c>
      <c r="G17" s="18"/>
      <c r="H17" s="18"/>
      <c r="I17" s="18">
        <v>-4369</v>
      </c>
      <c r="J17" s="18">
        <f>C17+D17</f>
        <v>5691</v>
      </c>
      <c r="K17" s="18">
        <f>AVERAGE(J14:J17)</f>
        <v>5702</v>
      </c>
      <c r="L17" s="18"/>
      <c r="M17" s="18">
        <f>-I17+M16</f>
        <v>20766</v>
      </c>
      <c r="N17" s="18"/>
      <c r="O17" s="18">
        <f>1+O16</f>
        <v>14</v>
      </c>
    </row>
    <row r="18" ht="20.05" customHeight="1">
      <c r="B18" s="28"/>
      <c r="C18" s="17">
        <v>7378</v>
      </c>
      <c r="D18" s="18">
        <v>-591</v>
      </c>
      <c r="E18" s="18">
        <v>-2592</v>
      </c>
      <c r="F18" s="18">
        <v>-3156</v>
      </c>
      <c r="G18" s="18"/>
      <c r="H18" s="18"/>
      <c r="I18" s="18">
        <v>-98</v>
      </c>
      <c r="J18" s="18">
        <f>C18+D18</f>
        <v>6787</v>
      </c>
      <c r="K18" s="18">
        <f>AVERAGE(J15:J18)</f>
        <v>5597.5</v>
      </c>
      <c r="L18" s="18"/>
      <c r="M18" s="18">
        <f>-I18+M17</f>
        <v>20864</v>
      </c>
      <c r="N18" s="18"/>
      <c r="O18" s="18">
        <f>1+O17</f>
        <v>15</v>
      </c>
    </row>
    <row r="19" ht="20.05" customHeight="1">
      <c r="B19" s="28"/>
      <c r="C19" s="17">
        <v>7648</v>
      </c>
      <c r="D19" s="18">
        <v>-1058</v>
      </c>
      <c r="E19" s="18">
        <v>-2807</v>
      </c>
      <c r="F19" s="18">
        <v>7746</v>
      </c>
      <c r="G19" s="18"/>
      <c r="H19" s="18"/>
      <c r="I19" s="18">
        <v>-1507</v>
      </c>
      <c r="J19" s="18">
        <f>C19+D19</f>
        <v>6590</v>
      </c>
      <c r="K19" s="18">
        <f>AVERAGE(J16:J19)</f>
        <v>6139.75</v>
      </c>
      <c r="L19" s="18"/>
      <c r="M19" s="18">
        <f>-I19+M18</f>
        <v>22371</v>
      </c>
      <c r="N19" s="18"/>
      <c r="O19" s="18">
        <f>1+O18</f>
        <v>16</v>
      </c>
    </row>
    <row r="20" ht="20.05" customHeight="1">
      <c r="B20" s="31">
        <v>2019</v>
      </c>
      <c r="C20" s="17">
        <v>7301</v>
      </c>
      <c r="D20" s="18">
        <v>-370</v>
      </c>
      <c r="E20" s="18">
        <v>10891</v>
      </c>
      <c r="F20" s="18">
        <v>-17008</v>
      </c>
      <c r="G20" s="18"/>
      <c r="H20" s="18"/>
      <c r="I20" s="18">
        <v>-910</v>
      </c>
      <c r="J20" s="18">
        <f>C20+D20</f>
        <v>6931</v>
      </c>
      <c r="K20" s="18">
        <f>AVERAGE(J17:J20)</f>
        <v>6499.75</v>
      </c>
      <c r="L20" s="18"/>
      <c r="M20" s="18">
        <f>-I20+M19</f>
        <v>23281</v>
      </c>
      <c r="N20" s="18"/>
      <c r="O20" s="18">
        <f>1+O19</f>
        <v>17</v>
      </c>
    </row>
    <row r="21" ht="20.05" customHeight="1">
      <c r="B21" s="28"/>
      <c r="C21" s="17">
        <v>6608</v>
      </c>
      <c r="D21" s="18">
        <v>-558</v>
      </c>
      <c r="E21" s="18">
        <v>3258</v>
      </c>
      <c r="F21" s="18">
        <v>6627</v>
      </c>
      <c r="G21" s="18"/>
      <c r="H21" s="18"/>
      <c r="I21" s="18">
        <v>-5695</v>
      </c>
      <c r="J21" s="18">
        <f>C21+D21</f>
        <v>6050</v>
      </c>
      <c r="K21" s="18">
        <f>AVERAGE(J18:J21)</f>
        <v>6589.5</v>
      </c>
      <c r="L21" s="18"/>
      <c r="M21" s="18">
        <f>-I21+M20</f>
        <v>28976</v>
      </c>
      <c r="N21" s="18"/>
      <c r="O21" s="18">
        <f>1+O20</f>
        <v>18</v>
      </c>
    </row>
    <row r="22" ht="20.05" customHeight="1">
      <c r="B22" s="28"/>
      <c r="C22" s="17">
        <v>10621</v>
      </c>
      <c r="D22" s="18">
        <v>-496</v>
      </c>
      <c r="E22" s="18">
        <v>9962</v>
      </c>
      <c r="F22" s="18">
        <v>-7106</v>
      </c>
      <c r="G22" s="18"/>
      <c r="H22" s="18"/>
      <c r="I22" s="18">
        <v>827</v>
      </c>
      <c r="J22" s="18">
        <f>C22+D22</f>
        <v>10125</v>
      </c>
      <c r="K22" s="18">
        <f>AVERAGE(J19:J22)</f>
        <v>7424</v>
      </c>
      <c r="L22" s="18"/>
      <c r="M22" s="18">
        <f>-I22+M21</f>
        <v>28149</v>
      </c>
      <c r="N22" s="18"/>
      <c r="O22" s="18">
        <f>1+O21</f>
        <v>19</v>
      </c>
    </row>
    <row r="23" ht="20.05" customHeight="1">
      <c r="B23" s="28"/>
      <c r="C23" s="17">
        <v>8718</v>
      </c>
      <c r="D23" s="18">
        <v>-1251</v>
      </c>
      <c r="E23" s="18">
        <v>27831</v>
      </c>
      <c r="F23" s="18">
        <v>-17245.4</v>
      </c>
      <c r="G23" s="18"/>
      <c r="H23" s="18"/>
      <c r="I23" s="18">
        <v>-1556.8</v>
      </c>
      <c r="J23" s="18">
        <f>C23+D23</f>
        <v>7467</v>
      </c>
      <c r="K23" s="18">
        <f>AVERAGE(J20:J23)</f>
        <v>7643.25</v>
      </c>
      <c r="L23" s="18"/>
      <c r="M23" s="18">
        <f>-I23+M22</f>
        <v>29705.8</v>
      </c>
      <c r="N23" s="18"/>
      <c r="O23" s="18">
        <f>1+O22</f>
        <v>20</v>
      </c>
    </row>
    <row r="24" ht="20.05" customHeight="1">
      <c r="B24" s="31">
        <v>2020</v>
      </c>
      <c r="C24" s="17">
        <v>12305</v>
      </c>
      <c r="D24" s="18">
        <v>-357</v>
      </c>
      <c r="E24" s="18">
        <v>20635</v>
      </c>
      <c r="F24" s="18">
        <v>-29461</v>
      </c>
      <c r="G24" s="18">
        <f>26178-27146</f>
        <v>-968</v>
      </c>
      <c r="H24" s="18">
        <v>0</v>
      </c>
      <c r="I24" s="18">
        <v>3805</v>
      </c>
      <c r="J24" s="18">
        <f>C24+D24</f>
        <v>11948</v>
      </c>
      <c r="K24" s="18">
        <f>AVERAGE(J21:J24)</f>
        <v>8897.5</v>
      </c>
      <c r="L24" s="18"/>
      <c r="M24" s="18">
        <f>-I24+M23</f>
        <v>25900.8</v>
      </c>
      <c r="N24" s="18"/>
      <c r="O24" s="18">
        <f>1+O23</f>
        <v>21</v>
      </c>
    </row>
    <row r="25" ht="20.05" customHeight="1">
      <c r="B25" s="28"/>
      <c r="C25" s="17">
        <v>2949</v>
      </c>
      <c r="D25" s="18">
        <v>-486</v>
      </c>
      <c r="E25" s="18">
        <v>16973</v>
      </c>
      <c r="F25" s="18">
        <v>-16690</v>
      </c>
      <c r="G25" s="18">
        <f>25638-27658-G24</f>
        <v>-1052</v>
      </c>
      <c r="H25" s="18">
        <f>-11218-H24</f>
        <v>-11218</v>
      </c>
      <c r="I25" s="18">
        <f>-13352-I24</f>
        <v>-17157</v>
      </c>
      <c r="J25" s="18">
        <f>C25+D25</f>
        <v>2463</v>
      </c>
      <c r="K25" s="18">
        <f>AVERAGE(J22:J25)</f>
        <v>8000.75</v>
      </c>
      <c r="L25" s="18"/>
      <c r="M25" s="18">
        <f>-I25+M24</f>
        <v>43057.8</v>
      </c>
      <c r="N25" s="18"/>
      <c r="O25" s="18">
        <f>1+O24</f>
        <v>22</v>
      </c>
    </row>
    <row r="26" ht="20.05" customHeight="1">
      <c r="B26" s="28"/>
      <c r="C26" s="17">
        <v>12695</v>
      </c>
      <c r="D26" s="18">
        <v>-557</v>
      </c>
      <c r="E26" s="18">
        <v>-10480</v>
      </c>
      <c r="F26" s="18">
        <v>11383</v>
      </c>
      <c r="G26" s="18">
        <f>16705-18644-G25-G24</f>
        <v>81</v>
      </c>
      <c r="H26" s="18">
        <f>-11218-H25-H24</f>
        <v>0</v>
      </c>
      <c r="I26" s="18">
        <f>-13246-I25-I24</f>
        <v>106</v>
      </c>
      <c r="J26" s="18">
        <f>C26+D26</f>
        <v>12138</v>
      </c>
      <c r="K26" s="18">
        <f>AVERAGE(J23:J26)</f>
        <v>8504</v>
      </c>
      <c r="L26" s="18"/>
      <c r="M26" s="18">
        <f>-I26+M25</f>
        <v>42951.8</v>
      </c>
      <c r="N26" s="18"/>
      <c r="O26" s="18">
        <f>1+O25</f>
        <v>23</v>
      </c>
    </row>
    <row r="27" ht="20.05" customHeight="1">
      <c r="B27" s="28"/>
      <c r="C27" s="17">
        <v>9362</v>
      </c>
      <c r="D27" s="18">
        <v>-1274</v>
      </c>
      <c r="E27" s="18">
        <v>23851</v>
      </c>
      <c r="F27" s="18">
        <v>-9350</v>
      </c>
      <c r="G27" s="18">
        <f>-762+29097-30118-G26-G25-G24</f>
        <v>156</v>
      </c>
      <c r="H27" s="18">
        <f>-13634-H26-H25-H24</f>
        <v>-2416</v>
      </c>
      <c r="I27" s="18">
        <f>-15533-I26-I25-I24</f>
        <v>-2287</v>
      </c>
      <c r="J27" s="18">
        <f>C27+D27</f>
        <v>8088</v>
      </c>
      <c r="K27" s="18">
        <f>AVERAGE(J24:J27)</f>
        <v>8659.25</v>
      </c>
      <c r="L27" s="18"/>
      <c r="M27" s="18">
        <f>-I27+M26</f>
        <v>45238.8</v>
      </c>
      <c r="N27" s="18"/>
      <c r="O27" s="18">
        <f>1+O26</f>
        <v>24</v>
      </c>
    </row>
    <row r="28" ht="20.05" customHeight="1">
      <c r="B28" s="31">
        <v>2021</v>
      </c>
      <c r="C28" s="17">
        <v>12604</v>
      </c>
      <c r="D28" s="18">
        <v>-307</v>
      </c>
      <c r="E28" s="18">
        <v>-10432.9</v>
      </c>
      <c r="F28" s="18">
        <v>-11415.5</v>
      </c>
      <c r="G28" s="18">
        <f>22637-23799</f>
        <v>-1162</v>
      </c>
      <c r="H28" s="18">
        <v>0</v>
      </c>
      <c r="I28" s="18">
        <f>-993.5</f>
        <v>-993.5</v>
      </c>
      <c r="J28" s="18">
        <f>C28+D28</f>
        <v>12297</v>
      </c>
      <c r="K28" s="18">
        <f>AVERAGE(J25:J28)</f>
        <v>8746.5</v>
      </c>
      <c r="L28" s="18"/>
      <c r="M28" s="18">
        <f>-I28+M27</f>
        <v>46232.3</v>
      </c>
      <c r="N28" s="18"/>
      <c r="O28" s="18">
        <f>1+O27</f>
        <v>25</v>
      </c>
    </row>
    <row r="29" ht="20.05" customHeight="1">
      <c r="B29" s="28"/>
      <c r="C29" s="17">
        <v>9061</v>
      </c>
      <c r="D29" s="18">
        <v>-1058</v>
      </c>
      <c r="E29" s="18">
        <v>91560.899999999994</v>
      </c>
      <c r="F29" s="18">
        <v>-6795.5</v>
      </c>
      <c r="G29" s="18">
        <f>47607-48654-G28</f>
        <v>115</v>
      </c>
      <c r="H29" s="18">
        <f>-10651-H28</f>
        <v>-10651</v>
      </c>
      <c r="I29" s="18">
        <f>-11656-I28</f>
        <v>-10662.5</v>
      </c>
      <c r="J29" s="18">
        <f>C29+D29</f>
        <v>8003</v>
      </c>
      <c r="K29" s="18">
        <f>AVERAGE(J26:J29)</f>
        <v>10131.5</v>
      </c>
      <c r="L29" s="18"/>
      <c r="M29" s="18">
        <f>-I29+M28</f>
        <v>56894.8</v>
      </c>
      <c r="N29" s="18"/>
      <c r="O29" s="18">
        <f>1+O28</f>
        <v>26</v>
      </c>
    </row>
    <row r="30" ht="20.05" customHeight="1">
      <c r="B30" s="28"/>
      <c r="C30" s="17">
        <f>67206.5+3337.4-7264+1334.2-15889.9-440.4-6436.1-SUM(C28:C29)</f>
        <v>20182.7</v>
      </c>
      <c r="D30" s="18">
        <f>-1706.9-140.9-SUM(D28:D29)</f>
        <v>-482.8</v>
      </c>
      <c r="E30" s="18">
        <f>107221.1-SUM(E28:E29)</f>
        <v>26093.1</v>
      </c>
      <c r="F30" s="18">
        <f>-32688.1-SUM(F28:F29)</f>
        <v>-14477.1</v>
      </c>
      <c r="G30" s="18">
        <f>2719-3398-G29-G28</f>
        <v>368</v>
      </c>
      <c r="H30" s="18">
        <f>-10651-H29-H28</f>
        <v>0</v>
      </c>
      <c r="I30" s="18">
        <f>-11287-I29-I28</f>
        <v>369</v>
      </c>
      <c r="J30" s="18">
        <f>C30+D30</f>
        <v>19699.9</v>
      </c>
      <c r="K30" s="18">
        <f>AVERAGE(J27:J30)</f>
        <v>12021.975</v>
      </c>
      <c r="L30" s="18"/>
      <c r="M30" s="18">
        <f>-I30+M29</f>
        <v>56525.8</v>
      </c>
      <c r="N30" s="18"/>
      <c r="O30" s="18">
        <f>1+O29</f>
        <v>27</v>
      </c>
    </row>
    <row r="31" ht="20.05" customHeight="1">
      <c r="B31" s="28"/>
      <c r="C31" s="17">
        <f>87630.9+4787.1+1489-9606.9-2020.9-27304.6-440.4-SUM(C28:C30)</f>
        <v>12686.5</v>
      </c>
      <c r="D31" s="18">
        <f>-3061.8-243.6-SUM(D28:D30)</f>
        <v>-1457.6</v>
      </c>
      <c r="E31" s="18">
        <f>126186.3-SUM(E28:E30)</f>
        <v>18965.2</v>
      </c>
      <c r="F31" s="18">
        <f>-41247.9-SUM(F28:F30)</f>
        <v>-8559.799999999999</v>
      </c>
      <c r="G31" s="18">
        <f>-110+7227-7560-G30-G29-G28</f>
        <v>236</v>
      </c>
      <c r="H31" s="18">
        <f>-13733-H30-H29-H28</f>
        <v>-3082</v>
      </c>
      <c r="I31" s="18">
        <f>-14098.2-SUM(I28:I30)</f>
        <v>-2811.2</v>
      </c>
      <c r="J31" s="18">
        <f>C31+D31</f>
        <v>11228.9</v>
      </c>
      <c r="K31" s="18">
        <f>AVERAGE(J28:J31)</f>
        <v>12807.2</v>
      </c>
      <c r="L31" s="18"/>
      <c r="M31" s="18">
        <f>-I31+M30</f>
        <v>59337</v>
      </c>
      <c r="N31" s="18"/>
      <c r="O31" s="18">
        <f>1+O30</f>
        <v>28</v>
      </c>
    </row>
    <row r="32" ht="20.05" customHeight="1">
      <c r="B32" s="31">
        <v>2022</v>
      </c>
      <c r="C32" s="17">
        <f>21206.4+1436-1993+760-5996.2-493-2956.5</f>
        <v>11963.7</v>
      </c>
      <c r="D32" s="18">
        <v>-505.1</v>
      </c>
      <c r="E32" s="18">
        <v>-19257.4</v>
      </c>
      <c r="F32" s="18">
        <v>-661.7</v>
      </c>
      <c r="G32" s="18">
        <f>4240.3-4485.3</f>
        <v>-245</v>
      </c>
      <c r="H32" s="18">
        <v>0</v>
      </c>
      <c r="I32" s="18">
        <v>-57.6</v>
      </c>
      <c r="J32" s="18">
        <f>C32+D32</f>
        <v>11458.6</v>
      </c>
      <c r="K32" s="18">
        <f>AVERAGE(J29:J32)</f>
        <v>12597.6</v>
      </c>
      <c r="L32" s="18">
        <f>K32</f>
        <v>12597.6</v>
      </c>
      <c r="M32" s="18">
        <f>-I32+M31</f>
        <v>59394.6</v>
      </c>
      <c r="N32" s="18">
        <f>M32</f>
        <v>59394.6</v>
      </c>
      <c r="O32" s="18">
        <f>1+O31</f>
        <v>29</v>
      </c>
    </row>
    <row r="33" ht="20.05" customHeight="1">
      <c r="B33" s="28"/>
      <c r="C33" s="17"/>
      <c r="D33" s="18"/>
      <c r="E33" s="18"/>
      <c r="F33" s="18"/>
      <c r="G33" s="18"/>
      <c r="H33" s="18"/>
      <c r="I33" s="18"/>
      <c r="J33" s="18"/>
      <c r="K33" s="33"/>
      <c r="L33" s="18">
        <f>SUM('Model'!F9:F10)</f>
        <v>11554.4148998606</v>
      </c>
      <c r="M33" s="33"/>
      <c r="N33" s="18">
        <f>'Model'!F32</f>
        <v>86306.5850352171</v>
      </c>
      <c r="O33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13281" style="40" customWidth="1"/>
    <col min="2" max="13" width="10.6641" style="40" customWidth="1"/>
    <col min="14" max="16384" width="16.3516" style="40" customWidth="1"/>
  </cols>
  <sheetData>
    <row r="1" ht="59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4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19</v>
      </c>
      <c r="G3" t="s" s="5">
        <v>43</v>
      </c>
      <c r="H3" t="s" s="5">
        <v>25</v>
      </c>
      <c r="I3" t="s" s="5">
        <v>12</v>
      </c>
      <c r="J3" t="s" s="5">
        <v>27</v>
      </c>
      <c r="K3" t="s" s="5">
        <v>54</v>
      </c>
      <c r="L3" t="s" s="5">
        <v>55</v>
      </c>
      <c r="M3" t="s" s="5">
        <v>56</v>
      </c>
    </row>
    <row r="4" ht="21.1" customHeight="1">
      <c r="B4" s="23">
        <v>2016</v>
      </c>
      <c r="C4" s="36">
        <v>81965</v>
      </c>
      <c r="D4" s="37">
        <v>603427</v>
      </c>
      <c r="E4" s="37">
        <f>D4-C4</f>
        <v>521462</v>
      </c>
      <c r="F4" s="37">
        <v>7304</v>
      </c>
      <c r="G4" s="37">
        <f>'Sales'!E4</f>
        <v>94</v>
      </c>
      <c r="H4" s="37">
        <v>502408</v>
      </c>
      <c r="I4" s="37">
        <v>101019</v>
      </c>
      <c r="J4" s="37">
        <f>H4+I4-C4-E4</f>
        <v>0</v>
      </c>
      <c r="K4" s="41"/>
      <c r="L4" s="41"/>
      <c r="M4" s="37">
        <f>C4-H4</f>
        <v>-420443</v>
      </c>
    </row>
    <row r="5" ht="20.9" customHeight="1">
      <c r="B5" s="28"/>
      <c r="C5" s="17">
        <v>94878</v>
      </c>
      <c r="D5" s="18">
        <v>626176</v>
      </c>
      <c r="E5" s="18">
        <f>D5-C5</f>
        <v>531298</v>
      </c>
      <c r="F5" s="18">
        <v>7622</v>
      </c>
      <c r="G5" s="18">
        <f>G4+'Sales'!E5</f>
        <v>574</v>
      </c>
      <c r="H5" s="18">
        <v>522643</v>
      </c>
      <c r="I5" s="18">
        <v>103533</v>
      </c>
      <c r="J5" s="18">
        <f>H5+I5-C5-E5</f>
        <v>0</v>
      </c>
      <c r="K5" s="42">
        <f>E5/E4-1</f>
        <v>0.0188623523861758</v>
      </c>
      <c r="L5" s="42">
        <f>H5/H4-1</f>
        <v>0.0402760306364548</v>
      </c>
      <c r="M5" s="18">
        <f>C5-H5</f>
        <v>-427765</v>
      </c>
    </row>
    <row r="6" ht="20.9" customHeight="1">
      <c r="B6" s="28"/>
      <c r="C6" s="17">
        <v>97737</v>
      </c>
      <c r="D6" s="18">
        <v>660145</v>
      </c>
      <c r="E6" s="18">
        <f>D6-C6</f>
        <v>562408</v>
      </c>
      <c r="F6" s="18">
        <v>7936</v>
      </c>
      <c r="G6" s="18">
        <f>G5+'Sales'!E6</f>
        <v>1537</v>
      </c>
      <c r="H6" s="18">
        <v>550745</v>
      </c>
      <c r="I6" s="18">
        <v>109401</v>
      </c>
      <c r="J6" s="18">
        <f>H6+I6-C6-E6</f>
        <v>1</v>
      </c>
      <c r="K6" s="42">
        <f>E6/E5-1</f>
        <v>0.0585547094097851</v>
      </c>
      <c r="L6" s="42">
        <f>H6/H5-1</f>
        <v>0.0537690163266321</v>
      </c>
      <c r="M6" s="18">
        <f>C6-H6</f>
        <v>-453008</v>
      </c>
    </row>
    <row r="7" ht="20.9" customHeight="1">
      <c r="B7" s="28"/>
      <c r="C7" s="17">
        <v>104602</v>
      </c>
      <c r="D7" s="18">
        <v>676739</v>
      </c>
      <c r="E7" s="18">
        <f>D7-C7</f>
        <v>572137</v>
      </c>
      <c r="F7" s="18">
        <v>8243</v>
      </c>
      <c r="G7" s="18">
        <f>G6+'Sales'!E7</f>
        <v>3505</v>
      </c>
      <c r="H7" s="18">
        <v>564024</v>
      </c>
      <c r="I7" s="18">
        <v>112715</v>
      </c>
      <c r="J7" s="18">
        <f>H7+I7-C7-E7</f>
        <v>0</v>
      </c>
      <c r="K7" s="42">
        <f>E7/E6-1</f>
        <v>0.0172988293196398</v>
      </c>
      <c r="L7" s="42">
        <f>H7/H6-1</f>
        <v>0.0241109769494049</v>
      </c>
      <c r="M7" s="18">
        <f>C7-H7</f>
        <v>-459422</v>
      </c>
    </row>
    <row r="8" ht="20.9" customHeight="1">
      <c r="B8" s="31">
        <v>2017</v>
      </c>
      <c r="C8" s="17">
        <v>86105</v>
      </c>
      <c r="D8" s="18">
        <v>689596</v>
      </c>
      <c r="E8" s="18">
        <f>D8-C8</f>
        <v>603491</v>
      </c>
      <c r="F8" s="18">
        <v>8561</v>
      </c>
      <c r="G8" s="18">
        <f>G7+'Sales'!E8</f>
        <v>4494</v>
      </c>
      <c r="H8" s="18">
        <v>571185</v>
      </c>
      <c r="I8" s="18">
        <v>118412</v>
      </c>
      <c r="J8" s="18">
        <f>H8+I8-C8-E8</f>
        <v>1</v>
      </c>
      <c r="K8" s="42">
        <f>E8/E7-1</f>
        <v>0.0548015597662798</v>
      </c>
      <c r="L8" s="42">
        <f>H8/H7-1</f>
        <v>0.0126962682439045</v>
      </c>
      <c r="M8" s="18">
        <f>C8-H8</f>
        <v>-485080</v>
      </c>
    </row>
    <row r="9" ht="20.9" customHeight="1">
      <c r="B9" s="28"/>
      <c r="C9" s="17">
        <v>118040</v>
      </c>
      <c r="D9" s="18">
        <v>738199</v>
      </c>
      <c r="E9" s="18">
        <f>D9-C9</f>
        <v>620159</v>
      </c>
      <c r="F9" s="18">
        <v>8817</v>
      </c>
      <c r="G9" s="18">
        <f>G8+'Sales'!E9</f>
        <v>5511</v>
      </c>
      <c r="H9" s="18">
        <v>617304</v>
      </c>
      <c r="I9" s="18">
        <v>120896</v>
      </c>
      <c r="J9" s="18">
        <f>H9+I9-C9-E9</f>
        <v>1</v>
      </c>
      <c r="K9" s="42">
        <f>E9/E8-1</f>
        <v>0.027619301696297</v>
      </c>
      <c r="L9" s="42">
        <f>H9/H8-1</f>
        <v>0.08074266656162191</v>
      </c>
      <c r="M9" s="18">
        <f>C9-H9</f>
        <v>-499264</v>
      </c>
    </row>
    <row r="10" ht="20.9" customHeight="1">
      <c r="B10" s="28"/>
      <c r="C10" s="17">
        <v>88996</v>
      </c>
      <c r="D10" s="18">
        <v>739883</v>
      </c>
      <c r="E10" s="18">
        <f>D10-C10</f>
        <v>650887</v>
      </c>
      <c r="F10" s="18">
        <v>8901</v>
      </c>
      <c r="G10" s="18">
        <f>G9+'Sales'!E10</f>
        <v>6643</v>
      </c>
      <c r="H10" s="18">
        <v>612334</v>
      </c>
      <c r="I10" s="18">
        <v>127548</v>
      </c>
      <c r="J10" s="18">
        <f>H10+I10-C10-E10</f>
        <v>-1</v>
      </c>
      <c r="K10" s="42">
        <f>E10/E9-1</f>
        <v>0.0495485835084228</v>
      </c>
      <c r="L10" s="42">
        <f>H10/H9-1</f>
        <v>-0.008051138499021551</v>
      </c>
      <c r="M10" s="18">
        <f>C10-H10</f>
        <v>-523338</v>
      </c>
    </row>
    <row r="11" ht="20.9" customHeight="1">
      <c r="B11" s="28"/>
      <c r="C11" s="17">
        <v>86985</v>
      </c>
      <c r="D11" s="18">
        <v>750320</v>
      </c>
      <c r="E11" s="18">
        <f>D11-C11</f>
        <v>663335</v>
      </c>
      <c r="F11" s="18">
        <v>9769</v>
      </c>
      <c r="G11" s="18">
        <f>G10+'Sales'!E11</f>
        <v>8066</v>
      </c>
      <c r="H11" s="18">
        <v>618918</v>
      </c>
      <c r="I11" s="18">
        <v>131402</v>
      </c>
      <c r="J11" s="18">
        <f>H11+I11-C11-E11</f>
        <v>0</v>
      </c>
      <c r="K11" s="42">
        <f>E11/E10-1</f>
        <v>0.0191246714099375</v>
      </c>
      <c r="L11" s="42">
        <f>H11/H10-1</f>
        <v>0.0107523018483377</v>
      </c>
      <c r="M11" s="18">
        <f>C11-H11</f>
        <v>-531933</v>
      </c>
    </row>
    <row r="12" ht="20.9" customHeight="1">
      <c r="B12" s="31">
        <v>2018</v>
      </c>
      <c r="C12" s="17">
        <v>83219</v>
      </c>
      <c r="D12" s="18">
        <v>759851</v>
      </c>
      <c r="E12" s="18">
        <f>D12-C12</f>
        <v>676632</v>
      </c>
      <c r="F12" s="18">
        <v>10210</v>
      </c>
      <c r="G12" s="18">
        <f>G11+'Sales'!E12</f>
        <v>8314</v>
      </c>
      <c r="H12" s="18">
        <v>623398</v>
      </c>
      <c r="I12" s="18">
        <v>136453</v>
      </c>
      <c r="J12" s="18">
        <f>H12+I12-C12-E12</f>
        <v>0</v>
      </c>
      <c r="K12" s="42">
        <f>E12/E11-1</f>
        <v>0.0200456782771903</v>
      </c>
      <c r="L12" s="42">
        <f>H12/H11-1</f>
        <v>0.00723843869462514</v>
      </c>
      <c r="M12" s="18">
        <f>C12-H12</f>
        <v>-540179</v>
      </c>
    </row>
    <row r="13" ht="20.9" customHeight="1">
      <c r="B13" s="28"/>
      <c r="C13" s="17">
        <v>107639</v>
      </c>
      <c r="D13" s="18">
        <v>791730</v>
      </c>
      <c r="E13" s="18">
        <f>D13-C13</f>
        <v>684091</v>
      </c>
      <c r="F13" s="18">
        <v>17697</v>
      </c>
      <c r="G13" s="18">
        <f>G12+'Sales'!E13</f>
        <v>9002</v>
      </c>
      <c r="H13" s="18">
        <v>654885</v>
      </c>
      <c r="I13" s="18">
        <v>136845</v>
      </c>
      <c r="J13" s="18">
        <f>H13+I13-C13-E13</f>
        <v>0</v>
      </c>
      <c r="K13" s="42">
        <f>E13/E12-1</f>
        <v>0.0110237174712399</v>
      </c>
      <c r="L13" s="42">
        <f>H13/H12-1</f>
        <v>0.0505086638070703</v>
      </c>
      <c r="M13" s="18">
        <f>C13-H13</f>
        <v>-547246</v>
      </c>
    </row>
    <row r="14" ht="20.9" customHeight="1">
      <c r="B14" s="28"/>
      <c r="C14" s="17">
        <v>101793</v>
      </c>
      <c r="D14" s="18">
        <v>798966</v>
      </c>
      <c r="E14" s="18">
        <f>D14-C14</f>
        <v>697173</v>
      </c>
      <c r="F14" s="18">
        <v>10878</v>
      </c>
      <c r="G14" s="18">
        <f>G13+'Sales'!E14</f>
        <v>9895</v>
      </c>
      <c r="H14" s="18">
        <v>655261</v>
      </c>
      <c r="I14" s="18">
        <v>143705</v>
      </c>
      <c r="J14" s="18">
        <f>H14+I14-C14-E14</f>
        <v>0</v>
      </c>
      <c r="K14" s="42">
        <f>E14/E13-1</f>
        <v>0.0191231868274835</v>
      </c>
      <c r="L14" s="42">
        <f>H14/H13-1</f>
        <v>0.000574146605892638</v>
      </c>
      <c r="M14" s="18">
        <f>C14-H14</f>
        <v>-553468</v>
      </c>
    </row>
    <row r="15" ht="20.9" customHeight="1">
      <c r="B15" s="28"/>
      <c r="C15" s="17">
        <v>105225</v>
      </c>
      <c r="D15" s="18">
        <v>824788</v>
      </c>
      <c r="E15" s="18">
        <f>D15-C15</f>
        <v>719563</v>
      </c>
      <c r="F15" s="18">
        <v>11220</v>
      </c>
      <c r="G15" s="18">
        <f>G14+'Sales'!E15</f>
        <v>10699</v>
      </c>
      <c r="H15" s="18">
        <v>673034.4</v>
      </c>
      <c r="I15" s="18">
        <v>151753.4</v>
      </c>
      <c r="J15" s="18">
        <f>H15+I15-C15-E15</f>
        <v>-0.2</v>
      </c>
      <c r="K15" s="42">
        <f>E15/E14-1</f>
        <v>0.0321154146818652</v>
      </c>
      <c r="L15" s="42">
        <f>H15/H14-1</f>
        <v>0.0271241535815499</v>
      </c>
      <c r="M15" s="18">
        <f>C15-H15</f>
        <v>-567809.4</v>
      </c>
    </row>
    <row r="16" ht="20.9" customHeight="1">
      <c r="B16" s="31">
        <v>2019</v>
      </c>
      <c r="C16" s="17">
        <v>98198</v>
      </c>
      <c r="D16" s="18">
        <v>830550</v>
      </c>
      <c r="E16" s="18">
        <f>D16-C16</f>
        <v>732352</v>
      </c>
      <c r="F16" s="18">
        <v>10427</v>
      </c>
      <c r="G16" s="18">
        <f>G15+'Sales'!E16</f>
        <v>10887</v>
      </c>
      <c r="H16" s="18">
        <v>671712.6</v>
      </c>
      <c r="I16" s="18">
        <v>158837.3</v>
      </c>
      <c r="J16" s="18">
        <f>H16+I16-C16-E16</f>
        <v>-0.1</v>
      </c>
      <c r="K16" s="42">
        <f>E16/E15-1</f>
        <v>0.0177732873980458</v>
      </c>
      <c r="L16" s="42">
        <f>H16/H15-1</f>
        <v>-0.0019639412190521</v>
      </c>
      <c r="M16" s="18">
        <f>C16-H16</f>
        <v>-573514.6</v>
      </c>
    </row>
    <row r="17" ht="20.9" customHeight="1">
      <c r="B17" s="28"/>
      <c r="C17" s="17">
        <v>102388</v>
      </c>
      <c r="D17" s="18">
        <v>870457</v>
      </c>
      <c r="E17" s="18">
        <f>D17-C17</f>
        <v>768069</v>
      </c>
      <c r="F17" s="18">
        <v>12046</v>
      </c>
      <c r="G17" s="18">
        <f>G16+'Sales'!E17</f>
        <v>11525</v>
      </c>
      <c r="H17" s="18">
        <v>710773</v>
      </c>
      <c r="I17" s="18">
        <v>159684</v>
      </c>
      <c r="J17" s="18">
        <f>H17+I17-C17-E17</f>
        <v>0</v>
      </c>
      <c r="K17" s="42">
        <f>E17/E16-1</f>
        <v>0.0487702634798567</v>
      </c>
      <c r="L17" s="42">
        <f>H17/H16-1</f>
        <v>0.0581504649458712</v>
      </c>
      <c r="M17" s="18">
        <f>C17-H17</f>
        <v>-608385</v>
      </c>
    </row>
    <row r="18" ht="20.9" customHeight="1">
      <c r="B18" s="28"/>
      <c r="C18" s="17">
        <v>106071</v>
      </c>
      <c r="D18" s="18">
        <v>893594</v>
      </c>
      <c r="E18" s="18">
        <f>D18-C18</f>
        <v>787523</v>
      </c>
      <c r="F18" s="18">
        <v>12347</v>
      </c>
      <c r="G18" s="18">
        <f>G17+'Sales'!E18</f>
        <v>12446</v>
      </c>
      <c r="H18" s="18">
        <v>725611</v>
      </c>
      <c r="I18" s="18">
        <v>167982</v>
      </c>
      <c r="J18" s="18">
        <f>H18+I18-C18-E18</f>
        <v>-1</v>
      </c>
      <c r="K18" s="42">
        <f>E18/E17-1</f>
        <v>0.0253284535634168</v>
      </c>
      <c r="L18" s="42">
        <f>H18/H17-1</f>
        <v>0.0208758633206382</v>
      </c>
      <c r="M18" s="18">
        <f>C18-H18</f>
        <v>-619540</v>
      </c>
    </row>
    <row r="19" ht="20.9" customHeight="1">
      <c r="B19" s="28"/>
      <c r="C19" s="17">
        <v>115099.8</v>
      </c>
      <c r="D19" s="18">
        <v>918989</v>
      </c>
      <c r="E19" s="18">
        <f>D19-C19</f>
        <v>803889.2</v>
      </c>
      <c r="F19" s="18">
        <f>11021+1424</f>
        <v>12445</v>
      </c>
      <c r="G19" s="18">
        <f>G18+'Sales'!E19</f>
        <v>13376</v>
      </c>
      <c r="H19" s="18">
        <v>744846</v>
      </c>
      <c r="I19" s="18">
        <v>174143</v>
      </c>
      <c r="J19" s="18">
        <f>H19+I19-C19-E19</f>
        <v>0</v>
      </c>
      <c r="K19" s="42">
        <f>E19/E18-1</f>
        <v>0.0207818692279464</v>
      </c>
      <c r="L19" s="42">
        <f>H19/H18-1</f>
        <v>0.0265086940523228</v>
      </c>
      <c r="M19" s="18">
        <f>C19-H19</f>
        <v>-629746.2</v>
      </c>
    </row>
    <row r="20" ht="20.9" customHeight="1">
      <c r="B20" s="31">
        <v>2020</v>
      </c>
      <c r="C20" s="17">
        <v>110078.8</v>
      </c>
      <c r="D20" s="18">
        <v>972930</v>
      </c>
      <c r="E20" s="18">
        <f>D20-C20</f>
        <v>862851.2</v>
      </c>
      <c r="F20" s="18">
        <f>10874+1501</f>
        <v>12375</v>
      </c>
      <c r="G20" s="18">
        <f>G19+'Sales'!E20</f>
        <v>14358</v>
      </c>
      <c r="H20" s="18">
        <v>801220</v>
      </c>
      <c r="I20" s="18">
        <v>171710</v>
      </c>
      <c r="J20" s="18">
        <f>H20+I20-C20-E20</f>
        <v>0</v>
      </c>
      <c r="K20" s="42">
        <f>E20/E19-1</f>
        <v>0.0733459287672978</v>
      </c>
      <c r="L20" s="42">
        <f>H20/H19-1</f>
        <v>0.0756854437024566</v>
      </c>
      <c r="M20" s="18">
        <f>C20-H20</f>
        <v>-691141.2</v>
      </c>
    </row>
    <row r="21" ht="20.9" customHeight="1">
      <c r="B21" s="28"/>
      <c r="C21" s="17">
        <v>93204.8</v>
      </c>
      <c r="D21" s="18">
        <v>975076</v>
      </c>
      <c r="E21" s="18">
        <f>D21-C21</f>
        <v>881871.2</v>
      </c>
      <c r="F21" s="18">
        <f>1580+11279</f>
        <v>12859</v>
      </c>
      <c r="G21" s="18">
        <f>G20+'Sales'!E21</f>
        <v>15823</v>
      </c>
      <c r="H21" s="18">
        <v>805802</v>
      </c>
      <c r="I21" s="18">
        <v>169274</v>
      </c>
      <c r="J21" s="18">
        <f>H21+I21-C21-E21</f>
        <v>0</v>
      </c>
      <c r="K21" s="42">
        <f>E21/E20-1</f>
        <v>0.0220431981783186</v>
      </c>
      <c r="L21" s="42">
        <f>H21/H20-1</f>
        <v>0.00571877886223509</v>
      </c>
      <c r="M21" s="18">
        <f>C21-H21</f>
        <v>-712597.2</v>
      </c>
    </row>
    <row r="22" ht="20.9" customHeight="1">
      <c r="B22" s="28"/>
      <c r="C22" s="17">
        <v>94213.8</v>
      </c>
      <c r="D22" s="18">
        <v>1003638</v>
      </c>
      <c r="E22" s="18">
        <f>D22-C22</f>
        <v>909424.2</v>
      </c>
      <c r="F22" s="18">
        <f>11613+1662</f>
        <v>13275</v>
      </c>
      <c r="G22" s="18">
        <f>G21+'Sales'!E22</f>
        <v>16872</v>
      </c>
      <c r="H22" s="18">
        <v>824499</v>
      </c>
      <c r="I22" s="18">
        <v>179139</v>
      </c>
      <c r="J22" s="18">
        <f>H22+I22-C22-E22</f>
        <v>0</v>
      </c>
      <c r="K22" s="42">
        <f>E22/E21-1</f>
        <v>0.0312437916103848</v>
      </c>
      <c r="L22" s="42">
        <f>H22/H21-1</f>
        <v>0.0232029704567623</v>
      </c>
      <c r="M22" s="18">
        <f>C22-H22</f>
        <v>-730285.2</v>
      </c>
    </row>
    <row r="23" ht="20.9" customHeight="1">
      <c r="B23" s="28"/>
      <c r="C23" s="17">
        <v>106427.8</v>
      </c>
      <c r="D23" s="18">
        <v>1075570</v>
      </c>
      <c r="E23" s="18">
        <f>D23-C23</f>
        <v>969142.2</v>
      </c>
      <c r="F23" s="18">
        <f>11995+1726</f>
        <v>13721</v>
      </c>
      <c r="G23" s="18">
        <f>G22+'Sales'!E23</f>
        <v>17967</v>
      </c>
      <c r="H23" s="18">
        <f>885538+5318</f>
        <v>890856</v>
      </c>
      <c r="I23" s="18">
        <v>184715</v>
      </c>
      <c r="J23" s="18">
        <f>H23+I23-C23-E23</f>
        <v>1</v>
      </c>
      <c r="K23" s="42">
        <f>E23/E22-1</f>
        <v>0.06566572563166891</v>
      </c>
      <c r="L23" s="42">
        <f>H23/H22-1</f>
        <v>0.0804816015543985</v>
      </c>
      <c r="M23" s="18">
        <f>C23-H23</f>
        <v>-784428.2</v>
      </c>
    </row>
    <row r="24" ht="20.9" customHeight="1">
      <c r="B24" s="31">
        <v>2021</v>
      </c>
      <c r="C24" s="17">
        <v>83585.899999999994</v>
      </c>
      <c r="D24" s="18">
        <v>1090382</v>
      </c>
      <c r="E24" s="18">
        <f>D24-C24</f>
        <v>1006796.1</v>
      </c>
      <c r="F24" s="18">
        <f>12294+1803</f>
        <v>14097</v>
      </c>
      <c r="G24" s="18">
        <f>G23+'Sales'!E24</f>
        <v>20146</v>
      </c>
      <c r="H24" s="18">
        <f>906773+4775</f>
        <v>911548</v>
      </c>
      <c r="I24" s="18">
        <v>178834</v>
      </c>
      <c r="J24" s="18">
        <f>H24+I24-C24-E24</f>
        <v>0</v>
      </c>
      <c r="K24" s="42">
        <f>E24/E23-1</f>
        <v>0.0388528123117536</v>
      </c>
      <c r="L24" s="42">
        <f>H24/H23-1</f>
        <v>0.0232270984311718</v>
      </c>
      <c r="M24" s="18">
        <f>C24-H24</f>
        <v>-827962.1</v>
      </c>
    </row>
    <row r="25" ht="20.9" customHeight="1">
      <c r="B25" s="28"/>
      <c r="C25" s="17">
        <v>157688.8</v>
      </c>
      <c r="D25" s="18">
        <v>1129497</v>
      </c>
      <c r="E25" s="18">
        <f>D25-C25</f>
        <v>971808.2</v>
      </c>
      <c r="F25" s="18">
        <f>F24+'Sales'!F29</f>
        <v>14667.5</v>
      </c>
      <c r="G25" s="18">
        <f>G24+'Sales'!E29</f>
        <v>23438.1</v>
      </c>
      <c r="H25" s="18">
        <f>937045+4956</f>
        <v>942001</v>
      </c>
      <c r="I25" s="18">
        <v>187496</v>
      </c>
      <c r="J25" s="18">
        <f>H25+I25-C25-E25</f>
        <v>0</v>
      </c>
      <c r="K25" s="42">
        <f>E25/E24-1</f>
        <v>-0.0347517238098161</v>
      </c>
      <c r="L25" s="42">
        <f>H25/H24-1</f>
        <v>0.0334080048445063</v>
      </c>
      <c r="M25" s="18">
        <f>C25-H25</f>
        <v>-784312.2</v>
      </c>
    </row>
    <row r="26" ht="20.9" customHeight="1">
      <c r="B26" s="28"/>
      <c r="C26" s="17">
        <v>169673.8</v>
      </c>
      <c r="D26" s="18">
        <v>1169296</v>
      </c>
      <c r="E26" s="18">
        <f>D26-C26</f>
        <v>999622.2</v>
      </c>
      <c r="F26" s="18">
        <f>8481+1945</f>
        <v>10426</v>
      </c>
      <c r="G26" s="18">
        <f>1+6+362+34+1+32151+787+1+231+273+1</f>
        <v>33848</v>
      </c>
      <c r="H26" s="18">
        <f>966219+5130</f>
        <v>971349</v>
      </c>
      <c r="I26" s="18">
        <v>197947</v>
      </c>
      <c r="J26" s="18">
        <f>H26+I26-C26-E26</f>
        <v>0</v>
      </c>
      <c r="K26" s="42">
        <f>E26/E25-1</f>
        <v>0.0286208739543461</v>
      </c>
      <c r="L26" s="42">
        <f>H26/H25-1</f>
        <v>0.0311549563110867</v>
      </c>
      <c r="M26" s="18">
        <f>C26-H26</f>
        <v>-801675.2</v>
      </c>
    </row>
    <row r="27" ht="20.9" customHeight="1">
      <c r="B27" s="28"/>
      <c r="C27" s="17">
        <v>177268</v>
      </c>
      <c r="D27" s="18">
        <v>1228345</v>
      </c>
      <c r="E27" s="18">
        <f>D27-C27</f>
        <v>1051077</v>
      </c>
      <c r="F27" s="18">
        <f>8939+2024</f>
        <v>10963</v>
      </c>
      <c r="G27" s="18">
        <f>3+279+255+1+784+32200+1+47+519+4+1</f>
        <v>34094</v>
      </c>
      <c r="H27" s="18">
        <f>1019774+5722</f>
        <v>1025496</v>
      </c>
      <c r="I27" s="18">
        <f>202849</f>
        <v>202849</v>
      </c>
      <c r="J27" s="18">
        <f>H27+I27-C27-E27</f>
        <v>0</v>
      </c>
      <c r="K27" s="42">
        <f>E27/E26-1</f>
        <v>0.0514742469705055</v>
      </c>
      <c r="L27" s="42">
        <f>H27/H26-1</f>
        <v>0.0557441249231739</v>
      </c>
      <c r="M27" s="18">
        <f>C27-H27</f>
        <v>-848228</v>
      </c>
    </row>
    <row r="28" ht="20.9" customHeight="1">
      <c r="B28" s="31">
        <v>2022</v>
      </c>
      <c r="C28" s="17">
        <f>C27+'Cashflow '!E32+'Cashflow '!F32+'Cashflow '!I32</f>
        <v>157291.3</v>
      </c>
      <c r="D28" s="18">
        <v>1259435</v>
      </c>
      <c r="E28" s="18">
        <f>D28-C28</f>
        <v>1102143.7</v>
      </c>
      <c r="F28" s="18">
        <f>8561+2087</f>
        <v>10648</v>
      </c>
      <c r="G28" s="18">
        <f>3+279+342+1+788+34949+1+41+222+3</f>
        <v>36629</v>
      </c>
      <c r="H28" s="18">
        <f>1058917+5690</f>
        <v>1064607</v>
      </c>
      <c r="I28" s="18">
        <v>194828</v>
      </c>
      <c r="J28" s="18">
        <f>H28+I28-C28-E28</f>
        <v>0</v>
      </c>
      <c r="K28" s="42">
        <f>E28/E27-1</f>
        <v>0.048585117931417</v>
      </c>
      <c r="L28" s="42">
        <f>H28/H27-1</f>
        <v>0.038138617800557</v>
      </c>
      <c r="M28" s="18">
        <f>C28-H28</f>
        <v>-907315.7</v>
      </c>
    </row>
    <row r="29" ht="20.9" customHeight="1">
      <c r="B29" s="28"/>
      <c r="C29" s="17"/>
      <c r="D29" s="18"/>
      <c r="E29" s="18"/>
      <c r="F29" s="18"/>
      <c r="G29" s="18"/>
      <c r="H29" s="18"/>
      <c r="I29" s="18"/>
      <c r="J29" s="18"/>
      <c r="K29" s="42"/>
      <c r="L29" s="42"/>
      <c r="M29" s="18"/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47656" style="43" customWidth="1"/>
    <col min="2" max="2" width="7.92969" style="43" customWidth="1"/>
    <col min="3" max="5" width="10.3203" style="43" customWidth="1"/>
    <col min="6" max="16384" width="16.3516" style="43" customWidth="1"/>
  </cols>
  <sheetData>
    <row r="1" ht="13.25" customHeight="1"/>
    <row r="2" ht="27.65" customHeight="1">
      <c r="B2" t="s" s="2">
        <v>57</v>
      </c>
      <c r="C2" s="2"/>
      <c r="D2" s="2"/>
      <c r="E2" s="2"/>
    </row>
    <row r="3" ht="20.25" customHeight="1">
      <c r="B3" s="4"/>
      <c r="C3" t="s" s="44">
        <v>58</v>
      </c>
      <c r="D3" t="s" s="45">
        <v>37</v>
      </c>
      <c r="E3" t="s" s="46">
        <v>59</v>
      </c>
    </row>
    <row r="4" ht="20.25" customHeight="1">
      <c r="B4" s="47">
        <v>2014</v>
      </c>
      <c r="C4" s="36">
        <v>2120</v>
      </c>
      <c r="D4" s="37"/>
      <c r="E4" s="37"/>
    </row>
    <row r="5" ht="20.05" customHeight="1">
      <c r="B5" s="48"/>
      <c r="C5" s="17">
        <v>2200</v>
      </c>
      <c r="D5" s="18"/>
      <c r="E5" s="18"/>
    </row>
    <row r="6" ht="20.05" customHeight="1">
      <c r="B6" s="48"/>
      <c r="C6" s="17">
        <v>2615</v>
      </c>
      <c r="D6" s="18"/>
      <c r="E6" s="18"/>
    </row>
    <row r="7" ht="20.05" customHeight="1">
      <c r="B7" s="48"/>
      <c r="C7" s="17">
        <v>2625</v>
      </c>
      <c r="D7" s="18"/>
      <c r="E7" s="18"/>
    </row>
    <row r="8" ht="20.05" customHeight="1">
      <c r="B8" s="49">
        <v>2015</v>
      </c>
      <c r="C8" s="17">
        <v>2965</v>
      </c>
      <c r="D8" s="18"/>
      <c r="E8" s="18"/>
    </row>
    <row r="9" ht="20.05" customHeight="1">
      <c r="B9" s="48"/>
      <c r="C9" s="17">
        <v>2700</v>
      </c>
      <c r="D9" s="18"/>
      <c r="E9" s="18"/>
    </row>
    <row r="10" ht="20.05" customHeight="1">
      <c r="B10" s="48"/>
      <c r="C10" s="17">
        <v>2455</v>
      </c>
      <c r="D10" s="18"/>
      <c r="E10" s="18"/>
    </row>
    <row r="11" ht="20.05" customHeight="1">
      <c r="B11" s="48"/>
      <c r="C11" s="17">
        <v>2660</v>
      </c>
      <c r="D11" s="18"/>
      <c r="E11" s="18"/>
    </row>
    <row r="12" ht="20.05" customHeight="1">
      <c r="B12" s="49">
        <v>2016</v>
      </c>
      <c r="C12" s="17">
        <v>2660</v>
      </c>
      <c r="D12" s="18"/>
      <c r="E12" s="18"/>
    </row>
    <row r="13" ht="20.05" customHeight="1">
      <c r="B13" s="48"/>
      <c r="C13" s="17">
        <v>2665</v>
      </c>
      <c r="D13" s="18"/>
      <c r="E13" s="18"/>
    </row>
    <row r="14" ht="20.05" customHeight="1">
      <c r="B14" s="48"/>
      <c r="C14" s="17">
        <v>3140</v>
      </c>
      <c r="D14" s="18"/>
      <c r="E14" s="18"/>
    </row>
    <row r="15" ht="20.05" customHeight="1">
      <c r="B15" s="48"/>
      <c r="C15" s="17">
        <v>3100</v>
      </c>
      <c r="D15" s="18"/>
      <c r="E15" s="18"/>
    </row>
    <row r="16" ht="20.05" customHeight="1">
      <c r="B16" s="49">
        <v>2017</v>
      </c>
      <c r="C16" s="17">
        <v>3310</v>
      </c>
      <c r="D16" s="18"/>
      <c r="E16" s="18"/>
    </row>
    <row r="17" ht="20.05" customHeight="1">
      <c r="B17" s="48"/>
      <c r="C17" s="17">
        <v>3630</v>
      </c>
      <c r="D17" s="18"/>
      <c r="E17" s="18"/>
    </row>
    <row r="18" ht="20.05" customHeight="1">
      <c r="B18" s="48"/>
      <c r="C18" s="17">
        <v>4060</v>
      </c>
      <c r="D18" s="18"/>
      <c r="E18" s="18"/>
    </row>
    <row r="19" ht="20.05" customHeight="1">
      <c r="B19" s="48"/>
      <c r="C19" s="17">
        <v>4380</v>
      </c>
      <c r="D19" s="18"/>
      <c r="E19" s="18"/>
    </row>
    <row r="20" ht="20.05" customHeight="1">
      <c r="B20" s="49">
        <v>2018</v>
      </c>
      <c r="C20" s="17">
        <v>4660</v>
      </c>
      <c r="D20" s="18"/>
      <c r="E20" s="18"/>
    </row>
    <row r="21" ht="20.05" customHeight="1">
      <c r="B21" s="48"/>
      <c r="C21" s="17">
        <v>4295</v>
      </c>
      <c r="D21" s="18"/>
      <c r="E21" s="18"/>
    </row>
    <row r="22" ht="20.05" customHeight="1">
      <c r="B22" s="48"/>
      <c r="C22" s="17">
        <v>4830</v>
      </c>
      <c r="D22" s="18"/>
      <c r="E22" s="18"/>
    </row>
    <row r="23" ht="20.05" customHeight="1">
      <c r="B23" s="48"/>
      <c r="C23" s="17">
        <v>5200</v>
      </c>
      <c r="D23" s="18"/>
      <c r="E23" s="18"/>
    </row>
    <row r="24" ht="20.05" customHeight="1">
      <c r="B24" s="49">
        <v>2019</v>
      </c>
      <c r="C24" s="17">
        <v>5550</v>
      </c>
      <c r="D24" s="18"/>
      <c r="E24" s="18"/>
    </row>
    <row r="25" ht="20.05" customHeight="1">
      <c r="B25" s="48"/>
      <c r="C25" s="17">
        <v>5995</v>
      </c>
      <c r="D25" s="18"/>
      <c r="E25" s="18"/>
    </row>
    <row r="26" ht="20.05" customHeight="1">
      <c r="B26" s="48"/>
      <c r="C26" s="17">
        <v>6070</v>
      </c>
      <c r="D26" s="18"/>
      <c r="E26" s="18"/>
    </row>
    <row r="27" ht="20.05" customHeight="1">
      <c r="B27" s="48"/>
      <c r="C27" s="17">
        <v>6571.3984376</v>
      </c>
      <c r="D27" s="18"/>
      <c r="E27" s="18"/>
    </row>
    <row r="28" ht="20.05" customHeight="1">
      <c r="B28" s="49">
        <v>2020</v>
      </c>
      <c r="C28" s="17">
        <v>5431.1109376</v>
      </c>
      <c r="D28" s="18"/>
      <c r="E28" s="18"/>
    </row>
    <row r="29" ht="20.05" customHeight="1">
      <c r="B29" s="50"/>
      <c r="C29" s="17">
        <v>5695</v>
      </c>
      <c r="D29" s="18"/>
      <c r="E29" s="18"/>
    </row>
    <row r="30" ht="20.05" customHeight="1">
      <c r="B30" s="51"/>
      <c r="C30" s="17">
        <v>5403.63125</v>
      </c>
      <c r="D30" s="18"/>
      <c r="E30" s="18"/>
    </row>
    <row r="31" ht="20.05" customHeight="1">
      <c r="B31" s="51"/>
      <c r="C31" s="17">
        <v>6770</v>
      </c>
      <c r="D31" s="18"/>
      <c r="E31" s="18"/>
    </row>
    <row r="32" ht="20.05" customHeight="1">
      <c r="B32" s="52">
        <v>2021</v>
      </c>
      <c r="C32" s="17">
        <v>6129.0839844</v>
      </c>
      <c r="D32" s="18"/>
      <c r="E32" s="18"/>
    </row>
    <row r="33" ht="20.05" customHeight="1">
      <c r="B33" s="51"/>
      <c r="C33" s="17">
        <v>6025</v>
      </c>
      <c r="D33" s="18"/>
      <c r="E33" s="18"/>
    </row>
    <row r="34" ht="20.05" customHeight="1">
      <c r="B34" s="51"/>
      <c r="C34" s="17">
        <v>7000</v>
      </c>
      <c r="D34" s="18"/>
      <c r="E34" s="18"/>
    </row>
    <row r="35" ht="20.05" customHeight="1">
      <c r="B35" s="51"/>
      <c r="C35" s="17">
        <v>7350</v>
      </c>
      <c r="D35" s="18"/>
      <c r="E35" s="18">
        <v>9238.551136712051</v>
      </c>
    </row>
    <row r="36" ht="20.05" customHeight="1">
      <c r="B36" s="52">
        <v>2022</v>
      </c>
      <c r="C36" s="17">
        <v>7975</v>
      </c>
      <c r="D36" s="18"/>
      <c r="E36" s="18">
        <v>9188.737776665101</v>
      </c>
    </row>
    <row r="37" ht="20.05" customHeight="1">
      <c r="B37" s="51"/>
      <c r="C37" s="17">
        <v>7925</v>
      </c>
      <c r="D37" s="18">
        <f>C37</f>
        <v>7925</v>
      </c>
      <c r="E37" s="18">
        <v>9366.012460459229</v>
      </c>
    </row>
    <row r="38" ht="20.05" customHeight="1">
      <c r="B38" s="51"/>
      <c r="C38" s="17"/>
      <c r="D38" s="18">
        <f>'Model'!F42</f>
        <v>9165.601422341710</v>
      </c>
      <c r="E38" s="3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0781" style="53" customWidth="1"/>
    <col min="2" max="2" width="9.45312" style="53" customWidth="1"/>
    <col min="3" max="9" width="10.875" style="53" customWidth="1"/>
    <col min="10" max="16384" width="16.3516" style="53" customWidth="1"/>
  </cols>
  <sheetData>
    <row r="1" ht="22.2" customHeight="1"/>
    <row r="2" ht="27.65" customHeight="1">
      <c r="B2" t="s" s="2">
        <v>60</v>
      </c>
      <c r="C2" s="2"/>
      <c r="D2" s="2"/>
      <c r="E2" s="2"/>
      <c r="F2" s="2"/>
      <c r="G2" s="2"/>
      <c r="H2" s="2"/>
      <c r="I2" s="2"/>
    </row>
    <row r="3" ht="20.25" customHeight="1">
      <c r="B3" s="35"/>
      <c r="C3" t="s" s="5">
        <v>25</v>
      </c>
      <c r="D3" t="s" s="5">
        <v>26</v>
      </c>
      <c r="E3" t="s" s="5">
        <v>61</v>
      </c>
      <c r="F3" t="s" s="5">
        <v>25</v>
      </c>
      <c r="G3" t="s" s="5">
        <v>26</v>
      </c>
      <c r="H3" t="s" s="5">
        <v>61</v>
      </c>
      <c r="I3" s="4"/>
    </row>
    <row r="4" ht="20.25" customHeight="1">
      <c r="B4" s="23">
        <v>2005</v>
      </c>
      <c r="C4" s="36">
        <v>31.4</v>
      </c>
      <c r="D4" s="37">
        <f>32.313-C4</f>
        <v>0.913</v>
      </c>
      <c r="E4" s="37">
        <f>SUM(C4:D4)</f>
        <v>32.313</v>
      </c>
      <c r="F4" s="37">
        <f>C4</f>
        <v>31.4</v>
      </c>
      <c r="G4" s="37">
        <f>D4</f>
        <v>0.913</v>
      </c>
      <c r="H4" s="37">
        <f>E4</f>
        <v>32.313</v>
      </c>
      <c r="I4" s="38">
        <f>-H4</f>
        <v>-32.313</v>
      </c>
    </row>
    <row r="5" ht="20.05" customHeight="1">
      <c r="B5" s="31">
        <v>2006</v>
      </c>
      <c r="C5" s="17">
        <v>21.075</v>
      </c>
      <c r="D5" s="18">
        <f>-1180.638</f>
        <v>-1180.638</v>
      </c>
      <c r="E5" s="18">
        <f>SUM(C5:D5)</f>
        <v>-1159.563</v>
      </c>
      <c r="F5" s="18">
        <f>C5+F4</f>
        <v>52.475</v>
      </c>
      <c r="G5" s="18">
        <f>D5+G4</f>
        <v>-1179.725</v>
      </c>
      <c r="H5" s="18">
        <f>E5+H4</f>
        <v>-1127.25</v>
      </c>
      <c r="I5" s="18">
        <f>-H5</f>
        <v>1127.25</v>
      </c>
    </row>
    <row r="6" ht="20.05" customHeight="1">
      <c r="B6" s="31">
        <v>2007</v>
      </c>
      <c r="C6" s="17">
        <v>382.8</v>
      </c>
      <c r="D6" s="18">
        <f>-1758.173-C6</f>
        <v>-2140.973</v>
      </c>
      <c r="E6" s="18">
        <f>SUM(C6:D6)</f>
        <v>-1758.173</v>
      </c>
      <c r="F6" s="18">
        <f>C6+F5</f>
        <v>435.275</v>
      </c>
      <c r="G6" s="18">
        <f>D6+G5</f>
        <v>-3320.698</v>
      </c>
      <c r="H6" s="18">
        <f>E6+H5</f>
        <v>-2885.423</v>
      </c>
      <c r="I6" s="18">
        <f>-H6</f>
        <v>2885.423</v>
      </c>
    </row>
    <row r="7" ht="20.05" customHeight="1">
      <c r="B7" s="31">
        <v>2008</v>
      </c>
      <c r="C7" s="17">
        <v>-635.67</v>
      </c>
      <c r="D7" s="18">
        <f>2858.995-C7</f>
        <v>3494.665</v>
      </c>
      <c r="E7" s="18">
        <f>SUM(C7:D7)</f>
        <v>2858.995</v>
      </c>
      <c r="F7" s="18">
        <f>C7+F6</f>
        <v>-200.395</v>
      </c>
      <c r="G7" s="18">
        <f>D7+G6</f>
        <v>173.967</v>
      </c>
      <c r="H7" s="18">
        <f>E7+H6</f>
        <v>-26.428</v>
      </c>
      <c r="I7" s="18">
        <f>-H7</f>
        <v>26.428</v>
      </c>
    </row>
    <row r="8" ht="20.05" customHeight="1">
      <c r="B8" s="31">
        <v>2009</v>
      </c>
      <c r="C8" s="17">
        <v>282.008</v>
      </c>
      <c r="D8" s="18">
        <v>-3411.105</v>
      </c>
      <c r="E8" s="18">
        <f>SUM(C8:D8)</f>
        <v>-3129.097</v>
      </c>
      <c r="F8" s="18">
        <f>C8+F7</f>
        <v>81.613</v>
      </c>
      <c r="G8" s="18">
        <f>D8+G7</f>
        <v>-3237.138</v>
      </c>
      <c r="H8" s="18">
        <f>E8+H7</f>
        <v>-3155.525</v>
      </c>
      <c r="I8" s="18">
        <f>-H8</f>
        <v>3155.525</v>
      </c>
    </row>
    <row r="9" ht="20.05" customHeight="1">
      <c r="B9" s="31">
        <v>2010</v>
      </c>
      <c r="C9" s="17">
        <v>-281.612</v>
      </c>
      <c r="D9" s="18">
        <v>-2741.09</v>
      </c>
      <c r="E9" s="18">
        <f>SUM(C9:D9)</f>
        <v>-3022.702</v>
      </c>
      <c r="F9" s="18">
        <f>C9+F8</f>
        <v>-199.999</v>
      </c>
      <c r="G9" s="18">
        <f>D9+G8</f>
        <v>-5978.228</v>
      </c>
      <c r="H9" s="18">
        <f>E9+H8</f>
        <v>-6178.227</v>
      </c>
      <c r="I9" s="18">
        <f>-H9</f>
        <v>6178.227</v>
      </c>
    </row>
    <row r="10" ht="20.05" customHeight="1">
      <c r="B10" s="31">
        <v>2011</v>
      </c>
      <c r="C10" s="17">
        <f>362.228-7.883</f>
        <v>354.345</v>
      </c>
      <c r="D10" s="18">
        <f>-2411.11-C10</f>
        <v>-2765.455</v>
      </c>
      <c r="E10" s="18">
        <f>SUM(C10:D10)</f>
        <v>-2411.11</v>
      </c>
      <c r="F10" s="18">
        <f>C10+F9</f>
        <v>154.346</v>
      </c>
      <c r="G10" s="18">
        <f>D10+G9</f>
        <v>-8743.683000000001</v>
      </c>
      <c r="H10" s="18">
        <f>E10+H9</f>
        <v>-8589.337</v>
      </c>
      <c r="I10" s="18">
        <f>-H10</f>
        <v>8589.337</v>
      </c>
    </row>
    <row r="11" ht="20.05" customHeight="1">
      <c r="B11" s="31">
        <v>2012</v>
      </c>
      <c r="C11" s="17">
        <f>1039.867-312.82</f>
        <v>727.047</v>
      </c>
      <c r="D11" s="18">
        <f>-1300.874-C11</f>
        <v>-2027.921</v>
      </c>
      <c r="E11" s="18">
        <f>SUM(C11:D11)</f>
        <v>-1300.874</v>
      </c>
      <c r="F11" s="18">
        <f>C11+F10</f>
        <v>881.393</v>
      </c>
      <c r="G11" s="18">
        <f>D11+G10</f>
        <v>-10771.604</v>
      </c>
      <c r="H11" s="18">
        <f>E11+H10</f>
        <v>-9890.210999999999</v>
      </c>
      <c r="I11" s="18">
        <f>-H11</f>
        <v>9890.210999999999</v>
      </c>
    </row>
    <row r="12" ht="20.05" customHeight="1">
      <c r="B12" s="31">
        <v>2013</v>
      </c>
      <c r="C12" s="17">
        <f>610.97+372.934</f>
        <v>983.904</v>
      </c>
      <c r="D12" s="18">
        <f>83.951-C12</f>
        <v>-899.953</v>
      </c>
      <c r="E12" s="18">
        <f>SUM(C12:D12)</f>
        <v>83.95099999999999</v>
      </c>
      <c r="F12" s="18">
        <f>C12+F11</f>
        <v>1865.297</v>
      </c>
      <c r="G12" s="18">
        <f>D12+G11</f>
        <v>-11671.557</v>
      </c>
      <c r="H12" s="18">
        <f>E12+H11</f>
        <v>-9806.26</v>
      </c>
      <c r="I12" s="18">
        <f>-H12</f>
        <v>9806.26</v>
      </c>
    </row>
    <row r="13" ht="20.05" customHeight="1">
      <c r="B13" s="31">
        <v>2014</v>
      </c>
      <c r="C13" s="17">
        <f>-628.947+907.504</f>
        <v>278.557</v>
      </c>
      <c r="D13" s="18">
        <f>-2742.308-C13</f>
        <v>-3020.865</v>
      </c>
      <c r="E13" s="18">
        <f>SUM(C13:D13)</f>
        <v>-2742.308</v>
      </c>
      <c r="F13" s="18">
        <f>C13+F12</f>
        <v>2143.854</v>
      </c>
      <c r="G13" s="18">
        <f>D13+G12</f>
        <v>-14692.422</v>
      </c>
      <c r="H13" s="18">
        <f>E13+H12</f>
        <v>-12548.568</v>
      </c>
      <c r="I13" s="18">
        <f>-H13</f>
        <v>12548.568</v>
      </c>
    </row>
    <row r="14" ht="20.05" customHeight="1">
      <c r="B14" s="31">
        <v>2015</v>
      </c>
      <c r="C14" s="17">
        <f>317.065-1337.605</f>
        <v>-1020.54</v>
      </c>
      <c r="D14" s="18">
        <f>-4754.155-C14</f>
        <v>-3733.615</v>
      </c>
      <c r="E14" s="18">
        <f>SUM(C14:D14)</f>
        <v>-4754.155</v>
      </c>
      <c r="F14" s="18">
        <f>C14+F13</f>
        <v>1123.314</v>
      </c>
      <c r="G14" s="18">
        <f>D14+G13</f>
        <v>-18426.037</v>
      </c>
      <c r="H14" s="18">
        <f>E14+H13</f>
        <v>-17302.723</v>
      </c>
      <c r="I14" s="18">
        <f>-H14</f>
        <v>17302.723</v>
      </c>
    </row>
    <row r="15" ht="20.05" customHeight="1">
      <c r="B15" s="31">
        <v>2016</v>
      </c>
      <c r="C15" s="17">
        <f>-488.794+1045.205</f>
        <v>556.4109999999999</v>
      </c>
      <c r="D15" s="18">
        <f>-3662.059-C15</f>
        <v>-4218.47</v>
      </c>
      <c r="E15" s="18">
        <f>SUM(C15:D15)</f>
        <v>-3662.059</v>
      </c>
      <c r="F15" s="18">
        <f>C15+F14</f>
        <v>1679.725</v>
      </c>
      <c r="G15" s="18">
        <f>D15+G14</f>
        <v>-22644.507</v>
      </c>
      <c r="H15" s="18">
        <f>E15+H14</f>
        <v>-20964.782</v>
      </c>
      <c r="I15" s="18">
        <f>-H15</f>
        <v>20964.782</v>
      </c>
    </row>
    <row r="16" ht="20.05" customHeight="1">
      <c r="B16" s="31">
        <v>2017</v>
      </c>
      <c r="C16" s="17">
        <f>-1721.672+81151.092-80899.042</f>
        <v>-1469.622</v>
      </c>
      <c r="D16" s="18">
        <f>-6655.698-C16</f>
        <v>-5186.076</v>
      </c>
      <c r="E16" s="18">
        <f>SUM(C16:D16)</f>
        <v>-6655.698</v>
      </c>
      <c r="F16" s="18">
        <f>C16+F15</f>
        <v>210.103</v>
      </c>
      <c r="G16" s="18">
        <f>D16+G15</f>
        <v>-27830.583</v>
      </c>
      <c r="H16" s="18">
        <f>E16+H15</f>
        <v>-27620.48</v>
      </c>
      <c r="I16" s="18">
        <f>-H16</f>
        <v>27620.48</v>
      </c>
    </row>
    <row r="17" ht="20.05" customHeight="1">
      <c r="B17" s="31">
        <v>2018</v>
      </c>
      <c r="C17" s="17">
        <f>500-370.764+66872.39-67830.206</f>
        <v>-828.58</v>
      </c>
      <c r="D17" s="18">
        <f>-7297.649-C17</f>
        <v>-6469.069</v>
      </c>
      <c r="E17" s="18">
        <f>SUM(C17:D17)</f>
        <v>-7297.649</v>
      </c>
      <c r="F17" s="18">
        <f>C17+F16</f>
        <v>-618.477</v>
      </c>
      <c r="G17" s="18">
        <f>D17+G16</f>
        <v>-34299.652</v>
      </c>
      <c r="H17" s="18">
        <f>E17+H16</f>
        <v>-34918.129</v>
      </c>
      <c r="I17" s="18">
        <f>-H17</f>
        <v>34918.129</v>
      </c>
    </row>
    <row r="18" ht="20.05" customHeight="1">
      <c r="B18" s="31">
        <v>2019</v>
      </c>
      <c r="C18" s="17">
        <f>1346.617-240+88649.72-86406.964</f>
        <v>3349.373</v>
      </c>
      <c r="D18" s="18">
        <f>-8752.529+698.016-629.756</f>
        <v>-8684.269</v>
      </c>
      <c r="E18" s="18">
        <f>SUM(C18:D18)</f>
        <v>-5334.896</v>
      </c>
      <c r="F18" s="18">
        <f>C18+F17</f>
        <v>2730.896</v>
      </c>
      <c r="G18" s="18">
        <f>D18+G17</f>
        <v>-42983.921</v>
      </c>
      <c r="H18" s="18">
        <f>E18+H17</f>
        <v>-40253.025</v>
      </c>
      <c r="I18" s="18">
        <f>-H18</f>
        <v>40253.025</v>
      </c>
    </row>
    <row r="19" ht="20.05" customHeight="1">
      <c r="B19" s="31">
        <v>2020</v>
      </c>
      <c r="C19" s="17">
        <f>-762+29096.721-30118.379</f>
        <v>-1783.658</v>
      </c>
      <c r="D19" s="18">
        <v>-13634</v>
      </c>
      <c r="E19" s="18">
        <f>SUM(C19:D19)</f>
        <v>-15417.658</v>
      </c>
      <c r="F19" s="18">
        <f>C19+F18</f>
        <v>947.2380000000001</v>
      </c>
      <c r="G19" s="18">
        <f>D19+G18</f>
        <v>-56617.921</v>
      </c>
      <c r="H19" s="18">
        <f>E19+H18</f>
        <v>-55670.683</v>
      </c>
      <c r="I19" s="18">
        <f>-H19</f>
        <v>55670.683</v>
      </c>
    </row>
    <row r="20" ht="20.05" customHeight="1">
      <c r="B20" s="31">
        <v>2021</v>
      </c>
      <c r="C20" s="17">
        <f>SUM('Cashflow '!G28:G31)</f>
        <v>-443</v>
      </c>
      <c r="D20" s="18">
        <f>SUM('Cashflow '!H28:H31)</f>
        <v>-13733</v>
      </c>
      <c r="E20" s="18">
        <f>SUM(C20:D20)</f>
        <v>-14176</v>
      </c>
      <c r="F20" s="18">
        <f>C20+F19</f>
        <v>504.238</v>
      </c>
      <c r="G20" s="18">
        <f>D20+G19</f>
        <v>-70350.921</v>
      </c>
      <c r="H20" s="18">
        <f>E20+H19</f>
        <v>-69846.683</v>
      </c>
      <c r="I20" s="18">
        <f>-H20</f>
        <v>69846.683</v>
      </c>
    </row>
    <row r="21" ht="20.05" customHeight="1">
      <c r="B21" s="31">
        <v>2022</v>
      </c>
      <c r="C21" s="17">
        <f>'Cashflow '!G32</f>
        <v>-245</v>
      </c>
      <c r="D21" s="18">
        <f>'Cashflow '!H32</f>
        <v>0</v>
      </c>
      <c r="E21" s="18">
        <f>SUM(C21:D21)</f>
        <v>-245</v>
      </c>
      <c r="F21" s="18">
        <f>C21+F20</f>
        <v>259.238</v>
      </c>
      <c r="G21" s="18">
        <f>D21+G20</f>
        <v>-70350.921</v>
      </c>
      <c r="H21" s="18">
        <f>E21+H20</f>
        <v>-70091.683</v>
      </c>
      <c r="I21" s="18">
        <f>-H21</f>
        <v>70091.683</v>
      </c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