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<sst xmlns="http://schemas.openxmlformats.org/spreadsheetml/2006/main" uniqueCount="63">
  <si>
    <t>Financial model</t>
  </si>
  <si>
    <t>Rp bn</t>
  </si>
  <si>
    <t>4Q 2022</t>
  </si>
  <si>
    <t xml:space="preserve">Cashflow </t>
  </si>
  <si>
    <t xml:space="preserve">Growth </t>
  </si>
  <si>
    <t xml:space="preserve">Sales </t>
  </si>
  <si>
    <t>Cost ratio</t>
  </si>
  <si>
    <t>Cash costs</t>
  </si>
  <si>
    <t xml:space="preserve">Operating </t>
  </si>
  <si>
    <t xml:space="preserve">Investment </t>
  </si>
  <si>
    <t xml:space="preserve">Leases </t>
  </si>
  <si>
    <t xml:space="preserve">Finance </t>
  </si>
  <si>
    <t xml:space="preserve">Liabilities </t>
  </si>
  <si>
    <t>Equity</t>
  </si>
  <si>
    <t xml:space="preserve">Revolver </t>
  </si>
  <si>
    <t xml:space="preserve">Before revolver 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</si>
  <si>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</si>
  <si>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</si>
  <si>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</si>
  <si>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</si>
  <si>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</si>
  <si>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</si>
  <si>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</si>
  <si>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</si>
  <si>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</si>
  <si>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</si>
  <si>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</si>
  <si>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</si>
  <si>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</si>
  <si>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</si>
  <si>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</si>
  <si>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</si>
  <si>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</si>
  <si>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</si>
  <si>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</si>
  <si>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</si>
  <si>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</si>
  <si>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</si>
  <si>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</si>
  <si>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</si>
  <si>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</si>
  <si>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</si>
  <si>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</si>
  <si>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</si>
  <si>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Profit</t>
  </si>
  <si>
    <t xml:space="preserve">Sales growth </t>
  </si>
  <si>
    <t xml:space="preserve">Cost ratio </t>
  </si>
  <si>
    <t>Cashflow costs</t>
  </si>
  <si>
    <t>Cashflow</t>
  </si>
  <si>
    <t>Receipts</t>
  </si>
  <si>
    <t>Interest</t>
  </si>
  <si>
    <t>Leases</t>
  </si>
  <si>
    <t>Finance</t>
  </si>
  <si>
    <t xml:space="preserve">Free cashflow </t>
  </si>
  <si>
    <t>Capital</t>
  </si>
  <si>
    <t xml:space="preserve">Cash </t>
  </si>
  <si>
    <t>Assets</t>
  </si>
  <si>
    <t>Check</t>
  </si>
  <si>
    <t>Net cash</t>
  </si>
  <si>
    <t>Share price</t>
  </si>
  <si>
    <t>AVIA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</si>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</sst>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7" fontId="0" borderId="6" applyNumberFormat="1" applyFont="1" applyFill="0" applyBorder="1" applyAlignment="1" applyProtection="0">
      <alignment vertical="top" wrapText="1"/>
    </xf>
    <xf numFmtId="37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1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1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5722"/>
          <c:y val="0.0426778"/>
          <c:w val="0.8591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0283"/>
          <c:y val="0.0976567"/>
          <c:w val="0.304128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609857</xdr:colOff>
      <xdr:row>2</xdr:row>
      <xdr:rowOff>26834</xdr:rowOff>
    </xdr:from>
    <xdr:to>
      <xdr:col>13</xdr:col>
      <xdr:colOff>718998</xdr:colOff>
      <xdr:row>48</xdr:row>
      <xdr:rowOff>86488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24657" y="621829"/>
          <a:ext cx="8821342" cy="117779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21</xdr:col>
      <xdr:colOff>1092116</xdr:colOff>
      <xdr:row>34</xdr:row>
      <xdr:rowOff>66942</xdr:rowOff>
    </xdr:from>
    <xdr:to>
      <xdr:col>24</xdr:col>
      <xdr:colOff>782527</xdr:colOff>
      <xdr:row>48</xdr:row>
      <xdr:rowOff>16345</xdr:rowOff>
    </xdr:to>
    <xdr:graphicFrame>
      <xdr:nvGraphicFramePr>
        <xdr:cNvPr id="4" name="2D Line Chart"/>
        <xdr:cNvGraphicFramePr/>
      </xdr:nvGraphicFramePr>
      <xdr:xfrm>
        <a:off x="19723016" y="8906777"/>
        <a:ext cx="3424212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5625" style="1" customWidth="1"/>
    <col min="2" max="2" width="15.4375" style="1" customWidth="1"/>
    <col min="3" max="6" width="8.28906" style="1" customWidth="1"/>
    <col min="7" max="16384" width="16.3516" style="1" customWidth="1"/>
  </cols>
  <sheetData>
    <row r="1" ht="1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AVERAGE('Sales'!G16:G19)</f>
        <v>0.0556434863258131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-0.01</v>
      </c>
      <c r="D5" s="12">
        <v>0.04</v>
      </c>
      <c r="E5" s="12">
        <v>0.02</v>
      </c>
      <c r="F5" s="12">
        <v>0.05</v>
      </c>
    </row>
    <row r="6" ht="20.05" customHeight="1">
      <c r="B6" t="s" s="10">
        <v>5</v>
      </c>
      <c r="C6" s="13">
        <f>'Sales'!C19*(1+C5)</f>
        <v>1751.112</v>
      </c>
      <c r="D6" s="14">
        <f>C6*(1+D5)</f>
        <v>1821.15648</v>
      </c>
      <c r="E6" s="14">
        <f>D6*(1+E5)</f>
        <v>1857.5796096</v>
      </c>
      <c r="F6" s="14">
        <f>E6*(1+F5)</f>
        <v>1950.45859008</v>
      </c>
    </row>
    <row r="7" ht="20.05" customHeight="1">
      <c r="B7" t="s" s="10">
        <v>6</v>
      </c>
      <c r="C7" s="15">
        <f>AVERAGE('Sales'!I19)</f>
        <v>-0.760234087536211</v>
      </c>
      <c r="D7" s="16">
        <f>C7</f>
        <v>-0.760234087536211</v>
      </c>
      <c r="E7" s="16">
        <f>D7</f>
        <v>-0.760234087536211</v>
      </c>
      <c r="F7" s="16">
        <f>E7</f>
        <v>-0.760234087536211</v>
      </c>
    </row>
    <row r="8" ht="20.05" customHeight="1">
      <c r="B8" t="s" s="10">
        <v>7</v>
      </c>
      <c r="C8" s="17">
        <f>C6*C7</f>
        <v>-1331.255033493710</v>
      </c>
      <c r="D8" s="18">
        <f>D6*D7</f>
        <v>-1384.505234833460</v>
      </c>
      <c r="E8" s="18">
        <f>E6*E7</f>
        <v>-1412.195339530130</v>
      </c>
      <c r="F8" s="18">
        <f>F6*F7</f>
        <v>-1482.805106506630</v>
      </c>
    </row>
    <row r="9" ht="20.05" customHeight="1">
      <c r="B9" t="s" s="10">
        <v>8</v>
      </c>
      <c r="C9" s="17">
        <f>C6+C8</f>
        <v>419.856966506290</v>
      </c>
      <c r="D9" s="18">
        <f>D6+D8</f>
        <v>436.651245166540</v>
      </c>
      <c r="E9" s="18">
        <f>E6+E8</f>
        <v>445.384270069870</v>
      </c>
      <c r="F9" s="18">
        <f>F6+F8</f>
        <v>467.653483573370</v>
      </c>
    </row>
    <row r="10" ht="20.05" customHeight="1">
      <c r="B10" t="s" s="10">
        <v>9</v>
      </c>
      <c r="C10" s="17">
        <f>AVERAGE('Cashflow '!E17)</f>
        <v>-62.4</v>
      </c>
      <c r="D10" s="18">
        <f>C10</f>
        <v>-62.4</v>
      </c>
      <c r="E10" s="18">
        <f>D10</f>
        <v>-62.4</v>
      </c>
      <c r="F10" s="18">
        <f>E10</f>
        <v>-62.4</v>
      </c>
    </row>
    <row r="11" ht="20.05" customHeight="1">
      <c r="B11" t="s" s="10">
        <v>10</v>
      </c>
      <c r="C11" s="17">
        <f>'Cashflow '!G19</f>
        <v>-9</v>
      </c>
      <c r="D11" s="18">
        <f>C11</f>
        <v>-9</v>
      </c>
      <c r="E11" s="18">
        <f>D11</f>
        <v>-9</v>
      </c>
      <c r="F11" s="18">
        <f>E11</f>
        <v>-9</v>
      </c>
    </row>
    <row r="12" ht="20.05" customHeight="1">
      <c r="B12" t="s" s="10">
        <v>11</v>
      </c>
      <c r="C12" s="17">
        <f>C13+C14+C15</f>
        <v>-184.832089951887</v>
      </c>
      <c r="D12" s="18">
        <f>D13+D14+D15</f>
        <v>-186.225373549962</v>
      </c>
      <c r="E12" s="18">
        <f>E13+E14+E15</f>
        <v>-185.382531020961</v>
      </c>
      <c r="F12" s="18">
        <f>F13+F14+F15</f>
        <v>-188.773682572011</v>
      </c>
    </row>
    <row r="13" ht="20.05" customHeight="1">
      <c r="B13" t="s" s="10">
        <v>12</v>
      </c>
      <c r="C13" s="17">
        <f>-('Balance sheet'!F7)/20</f>
        <v>-72.90000000000001</v>
      </c>
      <c r="D13" s="18">
        <f>-C27/20</f>
        <v>-69.255</v>
      </c>
      <c r="E13" s="18">
        <f>-D27/20</f>
        <v>-65.79225</v>
      </c>
      <c r="F13" s="18">
        <f>-E27/20</f>
        <v>-62.5026375</v>
      </c>
    </row>
    <row r="14" ht="20.05" customHeight="1">
      <c r="B14" t="s" s="10">
        <v>13</v>
      </c>
      <c r="C14" s="17">
        <f>IF(C22&gt;0,-C22*0.3,0)</f>
        <v>-111.932089951887</v>
      </c>
      <c r="D14" s="18">
        <f>IF(D22&gt;0,-D22*0.3,0)</f>
        <v>-116.970373549962</v>
      </c>
      <c r="E14" s="18">
        <f>IF(E22&gt;0,-E22*0.3,0)</f>
        <v>-119.590281020961</v>
      </c>
      <c r="F14" s="18">
        <f>IF(F22&gt;0,-F22*0.3,0)</f>
        <v>-126.271045072011</v>
      </c>
    </row>
    <row r="15" ht="20.05" customHeight="1">
      <c r="B15" t="s" s="10">
        <v>14</v>
      </c>
      <c r="C15" s="17">
        <f>-MIN(0,C16)</f>
        <v>0</v>
      </c>
      <c r="D15" s="18">
        <f>-MIN(C28,D16)</f>
        <v>0</v>
      </c>
      <c r="E15" s="18">
        <f>-MIN(D28,E16)</f>
        <v>0</v>
      </c>
      <c r="F15" s="18">
        <f>-MIN(E28,F16)</f>
        <v>0</v>
      </c>
    </row>
    <row r="16" ht="20.05" customHeight="1">
      <c r="B16" t="s" s="10">
        <v>15</v>
      </c>
      <c r="C16" s="17">
        <f>C9+C10+C13+C14</f>
        <v>172.624876554403</v>
      </c>
      <c r="D16" s="18">
        <f>D9+D10+D13+D14</f>
        <v>188.025871616578</v>
      </c>
      <c r="E16" s="18">
        <f>E9+E10+E13+E14</f>
        <v>197.601739048909</v>
      </c>
      <c r="F16" s="18">
        <f>F9+F10+F13+F14</f>
        <v>216.479801001359</v>
      </c>
    </row>
    <row r="17" ht="20.05" customHeight="1">
      <c r="B17" t="s" s="10">
        <v>16</v>
      </c>
      <c r="C17" s="17">
        <f>'Balance sheet'!B7</f>
        <v>1288</v>
      </c>
      <c r="D17" s="18">
        <f>C19</f>
        <v>1460.6248765544</v>
      </c>
      <c r="E17" s="18">
        <f>D19</f>
        <v>1648.650748170980</v>
      </c>
      <c r="F17" s="18">
        <f>E19</f>
        <v>1846.252487219890</v>
      </c>
    </row>
    <row r="18" ht="20.05" customHeight="1">
      <c r="B18" t="s" s="10">
        <v>17</v>
      </c>
      <c r="C18" s="17">
        <f>C9+C10+C12</f>
        <v>172.624876554403</v>
      </c>
      <c r="D18" s="18">
        <f>D9+D10+D12</f>
        <v>188.025871616578</v>
      </c>
      <c r="E18" s="18">
        <f>E9+E10+E12</f>
        <v>197.601739048909</v>
      </c>
      <c r="F18" s="18">
        <f>F9+F10+F12</f>
        <v>216.479801001359</v>
      </c>
    </row>
    <row r="19" ht="20.05" customHeight="1">
      <c r="B19" t="s" s="10">
        <v>18</v>
      </c>
      <c r="C19" s="17">
        <f>C17+C18</f>
        <v>1460.6248765544</v>
      </c>
      <c r="D19" s="18">
        <f>D17+D18</f>
        <v>1648.650748170980</v>
      </c>
      <c r="E19" s="18">
        <f>E17+E18</f>
        <v>1846.252487219890</v>
      </c>
      <c r="F19" s="18">
        <f>F17+F18</f>
        <v>2062.732288221250</v>
      </c>
    </row>
    <row r="20" ht="20.05" customHeight="1">
      <c r="B20" t="s" s="19">
        <v>19</v>
      </c>
      <c r="C20" s="17"/>
      <c r="D20" s="18"/>
      <c r="E20" s="18"/>
      <c r="F20" s="20"/>
    </row>
    <row r="21" ht="20.05" customHeight="1">
      <c r="B21" t="s" s="10">
        <v>20</v>
      </c>
      <c r="C21" s="17">
        <f>-AVERAGE('Sales'!E19)</f>
        <v>-46.75</v>
      </c>
      <c r="D21" s="18">
        <f>C21</f>
        <v>-46.75</v>
      </c>
      <c r="E21" s="18">
        <f>D21</f>
        <v>-46.75</v>
      </c>
      <c r="F21" s="18">
        <f>E21</f>
        <v>-46.75</v>
      </c>
    </row>
    <row r="22" ht="20.05" customHeight="1">
      <c r="B22" t="s" s="10">
        <v>21</v>
      </c>
      <c r="C22" s="17">
        <f>C6+C8+C21</f>
        <v>373.106966506290</v>
      </c>
      <c r="D22" s="18">
        <f>D6+D8+D21</f>
        <v>389.901245166540</v>
      </c>
      <c r="E22" s="18">
        <f>E6+E8+E21</f>
        <v>398.634270069870</v>
      </c>
      <c r="F22" s="18">
        <f>F6+F8+F21</f>
        <v>420.903483573370</v>
      </c>
    </row>
    <row r="23" ht="20.05" customHeight="1">
      <c r="B23" t="s" s="19">
        <v>22</v>
      </c>
      <c r="C23" s="17"/>
      <c r="D23" s="18"/>
      <c r="E23" s="18"/>
      <c r="F23" s="20"/>
    </row>
    <row r="24" ht="20.05" customHeight="1">
      <c r="B24" t="s" s="10">
        <v>23</v>
      </c>
      <c r="C24" s="17">
        <f>'Balance sheet'!D7+'Balance sheet'!E7-C10</f>
        <v>10303.15</v>
      </c>
      <c r="D24" s="18">
        <f>C24-D10</f>
        <v>10365.55</v>
      </c>
      <c r="E24" s="18">
        <f>D24-E10</f>
        <v>10427.95</v>
      </c>
      <c r="F24" s="18">
        <f>E24-F10</f>
        <v>10490.35</v>
      </c>
    </row>
    <row r="25" ht="20.05" customHeight="1">
      <c r="B25" t="s" s="10">
        <v>24</v>
      </c>
      <c r="C25" s="17">
        <f>'Balance sheet'!E7-C21</f>
        <v>701.5</v>
      </c>
      <c r="D25" s="18">
        <f>C25-D21</f>
        <v>748.25</v>
      </c>
      <c r="E25" s="18">
        <f>D25-E21</f>
        <v>795</v>
      </c>
      <c r="F25" s="18">
        <f>E25-F21</f>
        <v>841.75</v>
      </c>
    </row>
    <row r="26" ht="20.05" customHeight="1">
      <c r="B26" t="s" s="10">
        <v>25</v>
      </c>
      <c r="C26" s="17">
        <f>C24-C25</f>
        <v>9601.65</v>
      </c>
      <c r="D26" s="18">
        <f>D24-D25</f>
        <v>9617.299999999999</v>
      </c>
      <c r="E26" s="18">
        <f>E24-E25</f>
        <v>9632.950000000001</v>
      </c>
      <c r="F26" s="18">
        <f>F24-F25</f>
        <v>9648.6</v>
      </c>
    </row>
    <row r="27" ht="20.05" customHeight="1">
      <c r="B27" t="s" s="10">
        <v>12</v>
      </c>
      <c r="C27" s="17">
        <f>'Balance sheet'!F7+C13</f>
        <v>1385.1</v>
      </c>
      <c r="D27" s="18">
        <f>C27+D13</f>
        <v>1315.845</v>
      </c>
      <c r="E27" s="18">
        <f>D27+E13</f>
        <v>1250.05275</v>
      </c>
      <c r="F27" s="18">
        <f>E27+F13</f>
        <v>1187.5501125</v>
      </c>
    </row>
    <row r="28" ht="20.05" customHeight="1">
      <c r="B28" t="s" s="10">
        <v>14</v>
      </c>
      <c r="C28" s="17">
        <f>C15</f>
        <v>0</v>
      </c>
      <c r="D28" s="18">
        <f>C28+D15</f>
        <v>0</v>
      </c>
      <c r="E28" s="18">
        <f>D28+E15</f>
        <v>0</v>
      </c>
      <c r="F28" s="18">
        <f>E28+F15</f>
        <v>0</v>
      </c>
    </row>
    <row r="29" ht="20.05" customHeight="1">
      <c r="B29" t="s" s="10">
        <v>26</v>
      </c>
      <c r="C29" s="17">
        <f>'Balance sheet'!G7+C22+C14</f>
        <v>9677.1748765544</v>
      </c>
      <c r="D29" s="18">
        <f>C29+D22+D14</f>
        <v>9950.105748170979</v>
      </c>
      <c r="E29" s="18">
        <f>D29+E22+E14</f>
        <v>10229.1497372199</v>
      </c>
      <c r="F29" s="18">
        <f>E29+F22+F14</f>
        <v>10523.7821757213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9.999999999999999e-12</v>
      </c>
      <c r="F30" s="18">
        <f>F27+F28+F29-F19-F26</f>
        <v>5e-11</v>
      </c>
    </row>
    <row r="31" ht="20.05" customHeight="1">
      <c r="B31" t="s" s="10">
        <v>28</v>
      </c>
      <c r="C31" s="17">
        <f>C19-C27-C28</f>
        <v>75.5248765544</v>
      </c>
      <c r="D31" s="18">
        <f>D19-D27-D28</f>
        <v>332.805748170980</v>
      </c>
      <c r="E31" s="18">
        <f>E19-E27-E28</f>
        <v>596.199737219890</v>
      </c>
      <c r="F31" s="18">
        <f>F19-F27-F28</f>
        <v>875.182175721250</v>
      </c>
    </row>
    <row r="32" ht="20.05" customHeight="1">
      <c r="B32" t="s" s="19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 '!N19-C12</f>
        <v>-1207.167910048110</v>
      </c>
      <c r="D33" s="18">
        <f>C33-D12</f>
        <v>-1020.942536498150</v>
      </c>
      <c r="E33" s="18">
        <f>D33-E12</f>
        <v>-835.560005477189</v>
      </c>
      <c r="F33" s="18">
        <f>E33-F12</f>
        <v>-646.7863229051781</v>
      </c>
    </row>
    <row r="34" ht="20.05" customHeight="1">
      <c r="B34" t="s" s="10">
        <v>31</v>
      </c>
      <c r="C34" s="17"/>
      <c r="D34" s="18"/>
      <c r="E34" s="18"/>
      <c r="F34" s="18">
        <v>48633577205760</v>
      </c>
    </row>
    <row r="35" ht="20.05" customHeight="1">
      <c r="B35" t="s" s="10">
        <v>31</v>
      </c>
      <c r="C35" s="17"/>
      <c r="D35" s="18"/>
      <c r="E35" s="18"/>
      <c r="F35" s="18">
        <f>F34/1000000000</f>
        <v>48633.57720576</v>
      </c>
    </row>
    <row r="36" ht="20.05" customHeight="1">
      <c r="B36" t="s" s="10">
        <v>32</v>
      </c>
      <c r="C36" s="17"/>
      <c r="D36" s="18"/>
      <c r="E36" s="18"/>
      <c r="F36" s="21">
        <f>F35/(F19+F26)</f>
        <v>4.1526938190178</v>
      </c>
    </row>
    <row r="37" ht="20.05" customHeight="1">
      <c r="B37" t="s" s="10">
        <v>33</v>
      </c>
      <c r="C37" s="17"/>
      <c r="D37" s="18"/>
      <c r="E37" s="18"/>
      <c r="F37" s="16">
        <f>-(C14+D14+E14+F14)/F35</f>
        <v>0.00976205775664373</v>
      </c>
    </row>
    <row r="38" ht="20.05" customHeight="1">
      <c r="B38" t="s" s="10">
        <v>3</v>
      </c>
      <c r="C38" s="17"/>
      <c r="D38" s="18"/>
      <c r="E38" s="18"/>
      <c r="F38" s="18">
        <f>SUM(C9:F11)</f>
        <v>1483.945965316070</v>
      </c>
    </row>
    <row r="39" ht="20.05" customHeight="1">
      <c r="B39" t="s" s="10">
        <v>34</v>
      </c>
      <c r="C39" s="17"/>
      <c r="D39" s="18"/>
      <c r="E39" s="18"/>
      <c r="F39" s="18">
        <f>'Balance sheet'!D7/F38</f>
        <v>6.45980394438301</v>
      </c>
    </row>
    <row r="40" ht="20.05" customHeight="1">
      <c r="B40" t="s" s="10">
        <v>29</v>
      </c>
      <c r="C40" s="17"/>
      <c r="D40" s="18"/>
      <c r="E40" s="18"/>
      <c r="F40" s="18">
        <f>F35/F38</f>
        <v>32.773145614774</v>
      </c>
    </row>
    <row r="41" ht="20.05" customHeight="1">
      <c r="B41" t="s" s="10">
        <v>35</v>
      </c>
      <c r="C41" s="17"/>
      <c r="D41" s="18"/>
      <c r="E41" s="18"/>
      <c r="F41" s="18">
        <v>34</v>
      </c>
    </row>
    <row r="42" ht="20.05" customHeight="1">
      <c r="B42" t="s" s="10">
        <v>36</v>
      </c>
      <c r="C42" s="17"/>
      <c r="D42" s="18"/>
      <c r="E42" s="18"/>
      <c r="F42" s="18">
        <f>F38*F41</f>
        <v>50454.1628207464</v>
      </c>
    </row>
    <row r="43" ht="20.05" customHeight="1">
      <c r="B43" t="s" s="10">
        <v>37</v>
      </c>
      <c r="C43" s="17"/>
      <c r="D43" s="18"/>
      <c r="E43" s="18"/>
      <c r="F43" s="18">
        <f>F35/F45</f>
        <v>61.953601536</v>
      </c>
    </row>
    <row r="44" ht="20.05" customHeight="1">
      <c r="B44" t="s" s="10">
        <v>38</v>
      </c>
      <c r="C44" s="17"/>
      <c r="D44" s="18"/>
      <c r="E44" s="18"/>
      <c r="F44" s="18">
        <f>F42/F43</f>
        <v>814.386275694214</v>
      </c>
    </row>
    <row r="45" ht="20.05" customHeight="1">
      <c r="B45" t="s" s="10">
        <v>39</v>
      </c>
      <c r="C45" s="17"/>
      <c r="D45" s="18"/>
      <c r="E45" s="18"/>
      <c r="F45" s="18">
        <v>785</v>
      </c>
    </row>
    <row r="46" ht="20.05" customHeight="1">
      <c r="B46" t="s" s="10">
        <v>40</v>
      </c>
      <c r="C46" s="17"/>
      <c r="D46" s="18"/>
      <c r="E46" s="18"/>
      <c r="F46" s="16">
        <f>F44/F45-1</f>
        <v>0.037434746107279</v>
      </c>
    </row>
    <row r="47" ht="20.05" customHeight="1">
      <c r="B47" t="s" s="10">
        <v>41</v>
      </c>
      <c r="C47" s="17"/>
      <c r="D47" s="18"/>
      <c r="E47" s="18"/>
      <c r="F47" s="16">
        <f>'Sales'!C19/'Sales'!C15-1</f>
        <v>0.234548944337812</v>
      </c>
    </row>
    <row r="48" ht="20.05" customHeight="1">
      <c r="B48" t="s" s="10">
        <v>42</v>
      </c>
      <c r="C48" s="17"/>
      <c r="D48" s="18"/>
      <c r="E48" s="18"/>
      <c r="F48" s="16">
        <f>'Sales'!D19/'Sales'!C19-1</f>
        <v>-0.0100633197648123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875" style="22" customWidth="1"/>
    <col min="2" max="2" width="10.0781" style="22" customWidth="1"/>
    <col min="3" max="11" width="9.28906" style="22" customWidth="1"/>
    <col min="12" max="16384" width="16.3516" style="22" customWidth="1"/>
  </cols>
  <sheetData>
    <row r="1" ht="29.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3">
        <v>1</v>
      </c>
      <c r="C3" t="s" s="5">
        <v>43</v>
      </c>
      <c r="D3" t="s" s="5">
        <v>35</v>
      </c>
      <c r="E3" t="s" s="5">
        <v>20</v>
      </c>
      <c r="F3" t="s" s="5">
        <v>44</v>
      </c>
      <c r="G3" t="s" s="5">
        <v>45</v>
      </c>
      <c r="H3" t="s" s="5">
        <v>46</v>
      </c>
      <c r="I3" t="s" s="5">
        <v>46</v>
      </c>
      <c r="J3" t="s" s="5">
        <v>35</v>
      </c>
      <c r="K3" t="s" s="5">
        <v>47</v>
      </c>
    </row>
    <row r="4" ht="20.25" customHeight="1">
      <c r="B4" s="23">
        <v>2018</v>
      </c>
      <c r="C4" s="24">
        <v>1280.5</v>
      </c>
      <c r="D4" s="25"/>
      <c r="E4" s="25">
        <v>20.75</v>
      </c>
      <c r="F4" s="25">
        <v>259.5</v>
      </c>
      <c r="G4" s="26"/>
      <c r="H4" s="26">
        <f>(E4+F4-C4)/C4</f>
        <v>-0.7811401796173369</v>
      </c>
      <c r="I4" s="26">
        <f>AVERAGE(H3:H4)</f>
        <v>-0.7811401796173369</v>
      </c>
      <c r="J4" s="26"/>
      <c r="K4" s="26">
        <f>('Cashflow '!D4+'Cashflow '!F4-'Cashflow '!C4)/'Cashflow '!C4</f>
        <v>-0.852564102564103</v>
      </c>
    </row>
    <row r="5" ht="20.05" customHeight="1">
      <c r="B5" s="27"/>
      <c r="C5" s="17">
        <v>1280.5</v>
      </c>
      <c r="D5" s="18"/>
      <c r="E5" s="18">
        <v>20.75</v>
      </c>
      <c r="F5" s="18">
        <v>259.5</v>
      </c>
      <c r="G5" s="16"/>
      <c r="H5" s="16">
        <f>(E5+F5-C5)/C5</f>
        <v>-0.7811401796173369</v>
      </c>
      <c r="I5" s="16">
        <f>AVERAGE(H3:H5)</f>
        <v>-0.7811401796173369</v>
      </c>
      <c r="J5" s="16"/>
      <c r="K5" s="16">
        <f>('Cashflow '!D8+'Cashflow '!F8-'Cashflow '!C8)/'Cashflow '!C8</f>
        <v>-0.828690303907381</v>
      </c>
    </row>
    <row r="6" ht="20.05" customHeight="1">
      <c r="B6" s="27"/>
      <c r="C6" s="17">
        <v>1280.5</v>
      </c>
      <c r="D6" s="18"/>
      <c r="E6" s="18">
        <v>20.75</v>
      </c>
      <c r="F6" s="18">
        <v>259.5</v>
      </c>
      <c r="G6" s="16"/>
      <c r="H6" s="16">
        <f>(E6+F6-C6)/C6</f>
        <v>-0.7811401796173369</v>
      </c>
      <c r="I6" s="16">
        <f>AVERAGE(H3:H6)</f>
        <v>-0.7811401796173369</v>
      </c>
      <c r="J6" s="16"/>
      <c r="K6" s="16">
        <f>('Cashflow '!D8+'Cashflow '!F8-'Cashflow '!C8)/'Cashflow '!C8</f>
        <v>-0.828690303907381</v>
      </c>
    </row>
    <row r="7" ht="20.05" customHeight="1">
      <c r="B7" s="27"/>
      <c r="C7" s="17">
        <v>1280.5</v>
      </c>
      <c r="D7" s="18"/>
      <c r="E7" s="18">
        <v>20.75</v>
      </c>
      <c r="F7" s="18">
        <v>259.5</v>
      </c>
      <c r="G7" s="16"/>
      <c r="H7" s="16">
        <f>(E7+F7-C7)/C7</f>
        <v>-0.7811401796173369</v>
      </c>
      <c r="I7" s="16">
        <f>AVERAGE(H4:H7)</f>
        <v>-0.7811401796173369</v>
      </c>
      <c r="J7" s="16"/>
      <c r="K7" s="16">
        <f>('Cashflow '!D8+'Cashflow '!F8-'Cashflow '!C8)/'Cashflow '!C8</f>
        <v>-0.828690303907381</v>
      </c>
    </row>
    <row r="8" ht="20.05" customHeight="1">
      <c r="B8" s="28">
        <v>2019</v>
      </c>
      <c r="C8" s="17">
        <v>1417.5</v>
      </c>
      <c r="D8" s="18"/>
      <c r="E8" s="18">
        <v>27.75</v>
      </c>
      <c r="F8" s="18">
        <v>239.75</v>
      </c>
      <c r="G8" s="16">
        <v>0.026747364310816</v>
      </c>
      <c r="H8" s="16">
        <f>(E8+F8-C8)/C8</f>
        <v>-0.811287477954145</v>
      </c>
      <c r="I8" s="16">
        <f>AVERAGE(H5:H8)</f>
        <v>-0.788677004201539</v>
      </c>
      <c r="J8" s="16"/>
      <c r="K8" s="16">
        <f>('Cashflow '!D8+'Cashflow '!F8-'Cashflow '!C8)/'Cashflow '!C8</f>
        <v>-0.828690303907381</v>
      </c>
    </row>
    <row r="9" ht="20.05" customHeight="1">
      <c r="B9" s="27"/>
      <c r="C9" s="17">
        <v>1417.5</v>
      </c>
      <c r="D9" s="20"/>
      <c r="E9" s="18">
        <v>27.75</v>
      </c>
      <c r="F9" s="18">
        <v>239.75</v>
      </c>
      <c r="G9" s="16">
        <v>0.026747364310816</v>
      </c>
      <c r="H9" s="16">
        <f>(E9+F9-C9)/C9</f>
        <v>-0.811287477954145</v>
      </c>
      <c r="I9" s="16">
        <f>AVERAGE(H6:H9)</f>
        <v>-0.796213828785741</v>
      </c>
      <c r="J9" s="16"/>
      <c r="K9" s="16">
        <f>('Cashflow '!D12+'Cashflow '!F12-'Cashflow '!C12)/'Cashflow '!C12</f>
        <v>-0.685459940652819</v>
      </c>
    </row>
    <row r="10" ht="20.05" customHeight="1">
      <c r="B10" s="27"/>
      <c r="C10" s="17">
        <v>1417.5</v>
      </c>
      <c r="D10" s="20"/>
      <c r="E10" s="18">
        <v>27.75</v>
      </c>
      <c r="F10" s="18">
        <v>239.75</v>
      </c>
      <c r="G10" s="16">
        <v>0.026747364310816</v>
      </c>
      <c r="H10" s="16">
        <f>(E10+F10-C10)/C10</f>
        <v>-0.811287477954145</v>
      </c>
      <c r="I10" s="16">
        <f>AVERAGE(H7:H10)</f>
        <v>-0.803750653369943</v>
      </c>
      <c r="J10" s="16"/>
      <c r="K10" s="16">
        <f>('Cashflow '!D12+'Cashflow '!F12-'Cashflow '!C12)/'Cashflow '!C12</f>
        <v>-0.685459940652819</v>
      </c>
    </row>
    <row r="11" ht="20.05" customHeight="1">
      <c r="B11" s="27"/>
      <c r="C11" s="17">
        <v>1417.5</v>
      </c>
      <c r="D11" s="20"/>
      <c r="E11" s="18">
        <v>27.75</v>
      </c>
      <c r="F11" s="18">
        <v>239.75</v>
      </c>
      <c r="G11" s="16">
        <v>0.026747364310816</v>
      </c>
      <c r="H11" s="16">
        <f>(E11+F11-C11)/C11</f>
        <v>-0.811287477954145</v>
      </c>
      <c r="I11" s="16">
        <f>AVERAGE(H8:H11)</f>
        <v>-0.811287477954145</v>
      </c>
      <c r="J11" s="16"/>
      <c r="K11" s="16">
        <f>('Cashflow '!D12+'Cashflow '!F12-'Cashflow '!C12)/'Cashflow '!C12</f>
        <v>-0.685459940652819</v>
      </c>
    </row>
    <row r="12" ht="20.05" customHeight="1">
      <c r="B12" s="28">
        <v>2020</v>
      </c>
      <c r="C12" s="17">
        <v>1432.75</v>
      </c>
      <c r="D12" s="20"/>
      <c r="E12" s="18">
        <v>29.5</v>
      </c>
      <c r="F12" s="18">
        <v>284</v>
      </c>
      <c r="G12" s="16">
        <v>0.00268959435626103</v>
      </c>
      <c r="H12" s="16">
        <f>(E12+F12-C12)/C12</f>
        <v>-0.781190019193858</v>
      </c>
      <c r="I12" s="16">
        <f>AVERAGE(H9:H12)</f>
        <v>-0.803763113264073</v>
      </c>
      <c r="J12" s="16"/>
      <c r="K12" s="16">
        <f>('Cashflow '!D12+'Cashflow '!F12-'Cashflow '!C12)/'Cashflow '!C12</f>
        <v>-0.685459940652819</v>
      </c>
    </row>
    <row r="13" ht="20.05" customHeight="1">
      <c r="B13" s="27"/>
      <c r="C13" s="17">
        <v>1432.75</v>
      </c>
      <c r="D13" s="20"/>
      <c r="E13" s="18">
        <v>29.5</v>
      </c>
      <c r="F13" s="18">
        <v>284</v>
      </c>
      <c r="G13" s="16">
        <v>0.00268959435626103</v>
      </c>
      <c r="H13" s="16">
        <f>(E13+F13-C13)/C13</f>
        <v>-0.781190019193858</v>
      </c>
      <c r="I13" s="16">
        <f>AVERAGE(H10:H13)</f>
        <v>-0.796238748574002</v>
      </c>
      <c r="J13" s="16"/>
      <c r="K13" s="16">
        <f>('Cashflow '!D16+'Cashflow '!F16-'Cashflow '!C16)/'Cashflow '!C16</f>
        <v>-0.828936641043559</v>
      </c>
    </row>
    <row r="14" ht="20.05" customHeight="1">
      <c r="B14" s="27"/>
      <c r="C14" s="17">
        <v>1432.75</v>
      </c>
      <c r="D14" s="20"/>
      <c r="E14" s="18">
        <v>29.5</v>
      </c>
      <c r="F14" s="18">
        <v>284</v>
      </c>
      <c r="G14" s="16">
        <v>0.00268959435626103</v>
      </c>
      <c r="H14" s="16">
        <f>(E14+F14-C14)/C14</f>
        <v>-0.781190019193858</v>
      </c>
      <c r="I14" s="16">
        <f>AVERAGE(H11:H14)</f>
        <v>-0.78871438388393</v>
      </c>
      <c r="J14" s="16"/>
      <c r="K14" s="16">
        <f>('Cashflow '!D16+'Cashflow '!F16-'Cashflow '!C16)/'Cashflow '!C16</f>
        <v>-0.828936641043559</v>
      </c>
    </row>
    <row r="15" ht="20.05" customHeight="1">
      <c r="B15" s="27"/>
      <c r="C15" s="17">
        <v>1432.75</v>
      </c>
      <c r="D15" s="20"/>
      <c r="E15" s="18">
        <v>29.5</v>
      </c>
      <c r="F15" s="18">
        <v>284</v>
      </c>
      <c r="G15" s="16">
        <v>0.00268959435626103</v>
      </c>
      <c r="H15" s="16">
        <f>(E15+F15-C15)/C15</f>
        <v>-0.781190019193858</v>
      </c>
      <c r="I15" s="16">
        <f>AVERAGE(H12:H15)</f>
        <v>-0.781190019193858</v>
      </c>
      <c r="J15" s="16"/>
      <c r="K15" s="16">
        <f>('Cashflow '!D16+'Cashflow '!F16-'Cashflow '!C16)/'Cashflow '!C16</f>
        <v>-0.828936641043559</v>
      </c>
    </row>
    <row r="16" ht="20.05" customHeight="1">
      <c r="B16" s="28">
        <v>2021</v>
      </c>
      <c r="C16" s="17">
        <v>1621.2</v>
      </c>
      <c r="D16" s="20"/>
      <c r="E16" s="18">
        <v>46.75</v>
      </c>
      <c r="F16" s="18">
        <v>361.8</v>
      </c>
      <c r="G16" s="16">
        <f>C16/C15-1</f>
        <v>0.1315302739487</v>
      </c>
      <c r="H16" s="16">
        <f>(E16+F16-C16)/C16</f>
        <v>-0.747995312114483</v>
      </c>
      <c r="I16" s="16">
        <f>AVERAGE(H13:H16)</f>
        <v>-0.772891342424014</v>
      </c>
      <c r="J16" s="16"/>
      <c r="K16" s="16">
        <f>('Cashflow '!D16+'Cashflow '!F16-'Cashflow '!C16)/'Cashflow '!C16</f>
        <v>-0.828936641043559</v>
      </c>
    </row>
    <row r="17" ht="20.05" customHeight="1">
      <c r="B17" s="27"/>
      <c r="C17" s="17">
        <v>1621.2</v>
      </c>
      <c r="D17" s="20"/>
      <c r="E17" s="18">
        <v>46.75</v>
      </c>
      <c r="F17" s="18">
        <v>361.8</v>
      </c>
      <c r="G17" s="16">
        <f>C17/C16-1</f>
        <v>0</v>
      </c>
      <c r="H17" s="16">
        <f>(E17+F17-C17)/C17</f>
        <v>-0.747995312114483</v>
      </c>
      <c r="I17" s="16">
        <f>AVERAGE(H14:H17)</f>
        <v>-0.7645926656541711</v>
      </c>
      <c r="J17" s="16"/>
      <c r="K17" s="16">
        <f>('Cashflow '!D17+'Cashflow '!F17-'Cashflow '!C17)/'Cashflow '!C17</f>
        <v>-0.828936641043559</v>
      </c>
    </row>
    <row r="18" ht="20.05" customHeight="1">
      <c r="B18" s="27"/>
      <c r="C18" s="17">
        <v>1768.8</v>
      </c>
      <c r="D18" s="20"/>
      <c r="E18" s="18">
        <v>46.75</v>
      </c>
      <c r="F18" s="18">
        <v>355.7</v>
      </c>
      <c r="G18" s="16">
        <f>C18/C17-1</f>
        <v>0.0910436713545522</v>
      </c>
      <c r="H18" s="16">
        <f>(E18+F18-C18)/C18</f>
        <v>-0.772472862957938</v>
      </c>
      <c r="I18" s="16">
        <f>AVERAGE(H15:H18)</f>
        <v>-0.762413376595191</v>
      </c>
      <c r="J18" s="16"/>
      <c r="K18" s="16">
        <f>('Cashflow '!D18+'Cashflow '!F18-'Cashflow '!C18)/'Cashflow '!C18</f>
        <v>-0.811631998994533</v>
      </c>
    </row>
    <row r="19" ht="20.05" customHeight="1">
      <c r="B19" s="27"/>
      <c r="C19" s="17">
        <f>(6780-C17-C16)/2</f>
        <v>1768.8</v>
      </c>
      <c r="D19" s="29">
        <v>1751</v>
      </c>
      <c r="E19" s="18">
        <v>46.75</v>
      </c>
      <c r="F19" s="18">
        <f>(1435-F17-F16)/2</f>
        <v>355.7</v>
      </c>
      <c r="G19" s="16">
        <f>C19/C18-1</f>
        <v>0</v>
      </c>
      <c r="H19" s="16">
        <f>(E19+F19-C19)/C19</f>
        <v>-0.772472862957938</v>
      </c>
      <c r="I19" s="16">
        <f>AVERAGE(H16:H19)</f>
        <v>-0.760234087536211</v>
      </c>
      <c r="J19" s="16">
        <f>I19</f>
        <v>-0.760234087536211</v>
      </c>
      <c r="K19" s="16">
        <f>('Cashflow '!D19+'Cashflow '!F19-'Cashflow '!C19)/'Cashflow '!C19</f>
        <v>-0.811631998994533</v>
      </c>
    </row>
    <row r="20" ht="20.05" customHeight="1">
      <c r="B20" s="28">
        <v>2022</v>
      </c>
      <c r="C20" s="17"/>
      <c r="D20" s="14">
        <f>'Model'!C6</f>
        <v>1751.112</v>
      </c>
      <c r="E20" s="20"/>
      <c r="F20" s="18"/>
      <c r="G20" s="12"/>
      <c r="H20" s="12"/>
      <c r="I20" s="16"/>
      <c r="J20" s="12">
        <f>'Model'!C7</f>
        <v>-0.760234087536211</v>
      </c>
      <c r="K20" s="16"/>
    </row>
    <row r="21" ht="20.05" customHeight="1">
      <c r="B21" s="27"/>
      <c r="C21" s="17"/>
      <c r="D21" s="18">
        <f>'Model'!D6</f>
        <v>1821.15648</v>
      </c>
      <c r="E21" s="18"/>
      <c r="F21" s="18"/>
      <c r="G21" s="12"/>
      <c r="H21" s="12"/>
      <c r="I21" s="16"/>
      <c r="J21" s="16"/>
      <c r="K21" s="16"/>
    </row>
    <row r="22" ht="20.05" customHeight="1">
      <c r="B22" s="27"/>
      <c r="C22" s="17"/>
      <c r="D22" s="18">
        <f>'Model'!E6</f>
        <v>1857.5796096</v>
      </c>
      <c r="E22" s="18"/>
      <c r="F22" s="18"/>
      <c r="G22" s="12"/>
      <c r="H22" s="12"/>
      <c r="I22" s="16"/>
      <c r="J22" s="16"/>
      <c r="K22" s="16"/>
    </row>
    <row r="23" ht="20.05" customHeight="1">
      <c r="B23" s="27"/>
      <c r="C23" s="17"/>
      <c r="D23" s="18">
        <f>'Model'!F6</f>
        <v>1950.45859008</v>
      </c>
      <c r="E23" s="18"/>
      <c r="F23" s="18"/>
      <c r="G23" s="12"/>
      <c r="H23" s="12"/>
      <c r="I23" s="16"/>
      <c r="J23" s="16"/>
      <c r="K23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0781" style="30" customWidth="1"/>
    <col min="2" max="2" width="7.71875" style="30" customWidth="1"/>
    <col min="3" max="15" width="10.3516" style="30" customWidth="1"/>
    <col min="16" max="16384" width="16.3516" style="30" customWidth="1"/>
  </cols>
  <sheetData>
    <row r="1" ht="16.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3">
        <v>1</v>
      </c>
      <c r="C3" t="s" s="5">
        <v>49</v>
      </c>
      <c r="D3" t="s" s="5">
        <v>8</v>
      </c>
      <c r="E3" t="s" s="5">
        <v>9</v>
      </c>
      <c r="F3" t="s" s="5">
        <v>50</v>
      </c>
      <c r="G3" t="s" s="5">
        <v>51</v>
      </c>
      <c r="H3" t="s" s="5">
        <v>12</v>
      </c>
      <c r="I3" t="s" s="5">
        <v>26</v>
      </c>
      <c r="J3" t="s" s="5">
        <v>52</v>
      </c>
      <c r="K3" t="s" s="5">
        <v>53</v>
      </c>
      <c r="L3" t="s" s="5">
        <v>3</v>
      </c>
      <c r="M3" t="s" s="5">
        <v>35</v>
      </c>
      <c r="N3" t="s" s="5">
        <v>54</v>
      </c>
      <c r="O3" t="s" s="5">
        <v>35</v>
      </c>
    </row>
    <row r="4" ht="20.25" customHeight="1">
      <c r="B4" s="23">
        <v>2018</v>
      </c>
      <c r="C4" s="24">
        <v>1248</v>
      </c>
      <c r="D4" s="25">
        <v>184</v>
      </c>
      <c r="E4" s="25">
        <v>-98.25</v>
      </c>
      <c r="F4" s="25"/>
      <c r="G4" s="25"/>
      <c r="H4" s="25"/>
      <c r="I4" s="25"/>
      <c r="J4" s="25">
        <v>0</v>
      </c>
      <c r="K4" s="25">
        <f>SUM(D4:G4)</f>
        <v>85.75</v>
      </c>
      <c r="L4" s="25">
        <f>AVERAGE(K3:K4)</f>
        <v>85.75</v>
      </c>
      <c r="M4" s="25"/>
      <c r="N4" s="25">
        <f>-(H4+I4)</f>
        <v>0</v>
      </c>
      <c r="O4" s="25"/>
    </row>
    <row r="5" ht="20.05" customHeight="1">
      <c r="B5" s="27"/>
      <c r="C5" s="17">
        <v>1248</v>
      </c>
      <c r="D5" s="18">
        <v>184</v>
      </c>
      <c r="E5" s="18">
        <v>-98.25</v>
      </c>
      <c r="F5" s="18"/>
      <c r="G5" s="18"/>
      <c r="H5" s="18"/>
      <c r="I5" s="18"/>
      <c r="J5" s="18">
        <v>0</v>
      </c>
      <c r="K5" s="18">
        <f>SUM(D5:G5)</f>
        <v>85.75</v>
      </c>
      <c r="L5" s="18">
        <f>AVERAGE(K3:K5)</f>
        <v>85.75</v>
      </c>
      <c r="M5" s="18"/>
      <c r="N5" s="18">
        <f>-(H5+I5)+N4</f>
        <v>0</v>
      </c>
      <c r="O5" s="18"/>
    </row>
    <row r="6" ht="20.05" customHeight="1">
      <c r="B6" s="27"/>
      <c r="C6" s="17">
        <v>1248</v>
      </c>
      <c r="D6" s="18">
        <v>184</v>
      </c>
      <c r="E6" s="18">
        <v>-98.25</v>
      </c>
      <c r="F6" s="18"/>
      <c r="G6" s="18"/>
      <c r="H6" s="18"/>
      <c r="I6" s="18"/>
      <c r="J6" s="18">
        <v>0</v>
      </c>
      <c r="K6" s="18">
        <f>SUM(D6:G6)</f>
        <v>85.75</v>
      </c>
      <c r="L6" s="18">
        <f>AVERAGE(K3:K6)</f>
        <v>85.75</v>
      </c>
      <c r="M6" s="18"/>
      <c r="N6" s="18">
        <f>-(H6+I6)+N5</f>
        <v>0</v>
      </c>
      <c r="O6" s="18"/>
    </row>
    <row r="7" ht="20.05" customHeight="1">
      <c r="B7" s="27"/>
      <c r="C7" s="17">
        <v>1248</v>
      </c>
      <c r="D7" s="18">
        <v>184</v>
      </c>
      <c r="E7" s="18">
        <v>-98.25</v>
      </c>
      <c r="F7" s="18"/>
      <c r="G7" s="18"/>
      <c r="H7" s="18"/>
      <c r="I7" s="18"/>
      <c r="J7" s="18">
        <v>0</v>
      </c>
      <c r="K7" s="18">
        <f>SUM(D7:G7)</f>
        <v>85.75</v>
      </c>
      <c r="L7" s="18">
        <f>AVERAGE(K4:K7)</f>
        <v>85.75</v>
      </c>
      <c r="M7" s="18"/>
      <c r="N7" s="18">
        <f>-(H7+I7)+N6</f>
        <v>0</v>
      </c>
      <c r="O7" s="18"/>
    </row>
    <row r="8" ht="20.05" customHeight="1">
      <c r="B8" s="28">
        <v>2019</v>
      </c>
      <c r="C8" s="17">
        <v>1382</v>
      </c>
      <c r="D8" s="18">
        <v>236.75</v>
      </c>
      <c r="E8" s="18">
        <v>-46.25</v>
      </c>
      <c r="F8" s="18"/>
      <c r="G8" s="18"/>
      <c r="H8" s="18"/>
      <c r="I8" s="18">
        <v>-300</v>
      </c>
      <c r="J8" s="18">
        <v>-300</v>
      </c>
      <c r="K8" s="18">
        <f>SUM(D8:G8)</f>
        <v>190.5</v>
      </c>
      <c r="L8" s="18">
        <f>AVERAGE(K5:K8)</f>
        <v>111.9375</v>
      </c>
      <c r="M8" s="18"/>
      <c r="N8" s="18">
        <f>-(H8+I8)+N7</f>
        <v>300</v>
      </c>
      <c r="O8" s="18"/>
    </row>
    <row r="9" ht="20.05" customHeight="1">
      <c r="B9" s="27"/>
      <c r="C9" s="17">
        <v>1382</v>
      </c>
      <c r="D9" s="18">
        <v>236.75</v>
      </c>
      <c r="E9" s="18">
        <v>-46.25</v>
      </c>
      <c r="F9" s="18"/>
      <c r="G9" s="18"/>
      <c r="H9" s="18"/>
      <c r="I9" s="18">
        <v>-300</v>
      </c>
      <c r="J9" s="18">
        <v>-300</v>
      </c>
      <c r="K9" s="18">
        <f>SUM(D9:G9)</f>
        <v>190.5</v>
      </c>
      <c r="L9" s="18">
        <f>AVERAGE(K6:K9)</f>
        <v>138.125</v>
      </c>
      <c r="M9" s="18"/>
      <c r="N9" s="18">
        <f>-(H9+I9)+N8</f>
        <v>600</v>
      </c>
      <c r="O9" s="18"/>
    </row>
    <row r="10" ht="20.05" customHeight="1">
      <c r="B10" s="27"/>
      <c r="C10" s="17">
        <v>1382</v>
      </c>
      <c r="D10" s="18">
        <v>236.75</v>
      </c>
      <c r="E10" s="18">
        <v>-46.25</v>
      </c>
      <c r="F10" s="18"/>
      <c r="G10" s="18"/>
      <c r="H10" s="18"/>
      <c r="I10" s="18">
        <v>-300</v>
      </c>
      <c r="J10" s="18">
        <v>-300</v>
      </c>
      <c r="K10" s="18">
        <f>SUM(D10:G10)</f>
        <v>190.5</v>
      </c>
      <c r="L10" s="18">
        <f>AVERAGE(K7:K10)</f>
        <v>164.3125</v>
      </c>
      <c r="M10" s="18"/>
      <c r="N10" s="18">
        <f>-(H10+I10)+N9</f>
        <v>900</v>
      </c>
      <c r="O10" s="18"/>
    </row>
    <row r="11" ht="20.05" customHeight="1">
      <c r="B11" s="27"/>
      <c r="C11" s="17">
        <v>1382</v>
      </c>
      <c r="D11" s="18">
        <v>236.75</v>
      </c>
      <c r="E11" s="18">
        <v>-46.25</v>
      </c>
      <c r="F11" s="18"/>
      <c r="G11" s="18"/>
      <c r="H11" s="18"/>
      <c r="I11" s="18">
        <v>-300</v>
      </c>
      <c r="J11" s="18">
        <v>-300</v>
      </c>
      <c r="K11" s="18">
        <f>SUM(D11:G11)</f>
        <v>190.5</v>
      </c>
      <c r="L11" s="18">
        <f>AVERAGE(K8:K11)</f>
        <v>190.5</v>
      </c>
      <c r="M11" s="18"/>
      <c r="N11" s="18">
        <f>-(H11+I11)+N10</f>
        <v>1200</v>
      </c>
      <c r="O11" s="18"/>
    </row>
    <row r="12" ht="20.05" customHeight="1">
      <c r="B12" s="28">
        <v>2020</v>
      </c>
      <c r="C12" s="17">
        <v>1432.25</v>
      </c>
      <c r="D12" s="18">
        <v>450.5</v>
      </c>
      <c r="E12" s="18">
        <v>-133.25</v>
      </c>
      <c r="F12" s="18"/>
      <c r="G12" s="18">
        <v>-15.75</v>
      </c>
      <c r="H12" s="18"/>
      <c r="I12" s="18">
        <v>-175</v>
      </c>
      <c r="J12" s="18">
        <v>-190.75</v>
      </c>
      <c r="K12" s="18">
        <f>SUM(D12:G12)</f>
        <v>301.5</v>
      </c>
      <c r="L12" s="18">
        <f>AVERAGE(K9:K12)</f>
        <v>218.25</v>
      </c>
      <c r="M12" s="18"/>
      <c r="N12" s="18">
        <f>-(H12+I12)+N11</f>
        <v>1375</v>
      </c>
      <c r="O12" s="18"/>
    </row>
    <row r="13" ht="20.05" customHeight="1">
      <c r="B13" s="27"/>
      <c r="C13" s="17">
        <v>1432.25</v>
      </c>
      <c r="D13" s="18">
        <v>450.5</v>
      </c>
      <c r="E13" s="18">
        <v>-133.25</v>
      </c>
      <c r="F13" s="18"/>
      <c r="G13" s="18">
        <v>-15.75</v>
      </c>
      <c r="H13" s="18"/>
      <c r="I13" s="18">
        <v>-175</v>
      </c>
      <c r="J13" s="18">
        <v>-190.75</v>
      </c>
      <c r="K13" s="18">
        <f>SUM(D13:G13)</f>
        <v>301.5</v>
      </c>
      <c r="L13" s="18">
        <f>AVERAGE(K10:K13)</f>
        <v>246</v>
      </c>
      <c r="M13" s="18"/>
      <c r="N13" s="18">
        <f>-(H13+I13)+N12</f>
        <v>1550</v>
      </c>
      <c r="O13" s="18"/>
    </row>
    <row r="14" ht="20.05" customHeight="1">
      <c r="B14" s="27"/>
      <c r="C14" s="17">
        <v>1432.25</v>
      </c>
      <c r="D14" s="18">
        <v>450.5</v>
      </c>
      <c r="E14" s="18">
        <v>-133.25</v>
      </c>
      <c r="F14" s="18"/>
      <c r="G14" s="18">
        <v>-15.75</v>
      </c>
      <c r="H14" s="18"/>
      <c r="I14" s="18">
        <v>-175</v>
      </c>
      <c r="J14" s="18">
        <v>-190.75</v>
      </c>
      <c r="K14" s="18">
        <f>SUM(D14:G14)</f>
        <v>301.5</v>
      </c>
      <c r="L14" s="18">
        <f>AVERAGE(K11:K14)</f>
        <v>273.75</v>
      </c>
      <c r="M14" s="18"/>
      <c r="N14" s="18">
        <f>-(H14+I14)+N13</f>
        <v>1725</v>
      </c>
      <c r="O14" s="18"/>
    </row>
    <row r="15" ht="20.05" customHeight="1">
      <c r="B15" s="27"/>
      <c r="C15" s="17">
        <v>1432.25</v>
      </c>
      <c r="D15" s="18">
        <v>450.5</v>
      </c>
      <c r="E15" s="18">
        <v>-133.25</v>
      </c>
      <c r="F15" s="18"/>
      <c r="G15" s="18">
        <v>-15.75</v>
      </c>
      <c r="H15" s="18"/>
      <c r="I15" s="18">
        <v>-175</v>
      </c>
      <c r="J15" s="18">
        <v>-190.75</v>
      </c>
      <c r="K15" s="18">
        <f>SUM(D15:G15)</f>
        <v>301.5</v>
      </c>
      <c r="L15" s="18">
        <f>AVERAGE(K12:K15)</f>
        <v>301.5</v>
      </c>
      <c r="M15" s="18"/>
      <c r="N15" s="18">
        <f>-(H15+I15)+N14</f>
        <v>1900</v>
      </c>
      <c r="O15" s="18"/>
    </row>
    <row r="16" ht="20.05" customHeight="1">
      <c r="B16" s="28">
        <v>2021</v>
      </c>
      <c r="C16" s="17">
        <v>1717.2</v>
      </c>
      <c r="D16" s="18">
        <v>303</v>
      </c>
      <c r="E16" s="18">
        <v>-62.4</v>
      </c>
      <c r="F16" s="18">
        <v>-9.25</v>
      </c>
      <c r="G16" s="18">
        <v>-9</v>
      </c>
      <c r="H16" s="18">
        <v>404</v>
      </c>
      <c r="I16" s="18">
        <v>-525</v>
      </c>
      <c r="J16" s="18">
        <v>-172.2</v>
      </c>
      <c r="K16" s="18">
        <f>SUM(D16:G16)</f>
        <v>222.35</v>
      </c>
      <c r="L16" s="18">
        <f>AVERAGE(K13:K16)</f>
        <v>281.7125</v>
      </c>
      <c r="M16" s="18"/>
      <c r="N16" s="18">
        <f>-(H16+I16)+N15</f>
        <v>2021</v>
      </c>
      <c r="O16" s="18"/>
    </row>
    <row r="17" ht="20.05" customHeight="1">
      <c r="B17" s="27"/>
      <c r="C17" s="17">
        <v>1717.2</v>
      </c>
      <c r="D17" s="18">
        <v>303</v>
      </c>
      <c r="E17" s="18">
        <v>-62.4</v>
      </c>
      <c r="F17" s="18">
        <v>-9.25</v>
      </c>
      <c r="G17" s="18">
        <v>-9</v>
      </c>
      <c r="H17" s="18">
        <v>404</v>
      </c>
      <c r="I17" s="18">
        <v>-525</v>
      </c>
      <c r="J17" s="18">
        <v>-172.2</v>
      </c>
      <c r="K17" s="18">
        <f>SUM(D17:G17)</f>
        <v>222.35</v>
      </c>
      <c r="L17" s="18">
        <f>AVERAGE(K14:K17)</f>
        <v>261.925</v>
      </c>
      <c r="M17" s="18"/>
      <c r="N17" s="18">
        <f>-(H17+I17)+N16</f>
        <v>2142</v>
      </c>
      <c r="O17" s="18"/>
    </row>
    <row r="18" ht="20.05" customHeight="1">
      <c r="B18" s="27"/>
      <c r="C18" s="17">
        <v>1591.3</v>
      </c>
      <c r="D18" s="18">
        <v>309</v>
      </c>
      <c r="E18" s="18">
        <v>-2196.1</v>
      </c>
      <c r="F18" s="18">
        <v>-9.25</v>
      </c>
      <c r="G18" s="18">
        <v>-9</v>
      </c>
      <c r="H18" s="18">
        <v>-406.5</v>
      </c>
      <c r="I18" s="18">
        <v>2173.5</v>
      </c>
      <c r="J18" s="18">
        <v>1781.6</v>
      </c>
      <c r="K18" s="18">
        <f>SUM(D18:G18)</f>
        <v>-1905.35</v>
      </c>
      <c r="L18" s="18">
        <f>AVERAGE(K15:K18)</f>
        <v>-289.7875</v>
      </c>
      <c r="M18" s="18"/>
      <c r="N18" s="18">
        <f>-(H18+I18)+N17</f>
        <v>375</v>
      </c>
      <c r="O18" s="18"/>
    </row>
    <row r="19" ht="20.05" customHeight="1">
      <c r="B19" s="27"/>
      <c r="C19" s="17">
        <f>(6617-C17-C16)/2</f>
        <v>1591.3</v>
      </c>
      <c r="D19" s="18">
        <f>(1224-D17-D16)/2</f>
        <v>309</v>
      </c>
      <c r="E19" s="18">
        <f>(-4517-E17-E16)/2</f>
        <v>-2196.1</v>
      </c>
      <c r="F19" s="18">
        <v>-9.25</v>
      </c>
      <c r="G19" s="18">
        <v>-9</v>
      </c>
      <c r="H19" s="18">
        <v>-406.5</v>
      </c>
      <c r="I19" s="18">
        <v>2173.5</v>
      </c>
      <c r="J19" s="18">
        <v>1781.6</v>
      </c>
      <c r="K19" s="18">
        <f>SUM(D19:G19)</f>
        <v>-1905.35</v>
      </c>
      <c r="L19" s="18">
        <f>AVERAGE(K16:K19)</f>
        <v>-841.5</v>
      </c>
      <c r="M19" s="18">
        <f>L19</f>
        <v>-841.5</v>
      </c>
      <c r="N19" s="18">
        <f>-(H19+I19)+N18</f>
        <v>-1392</v>
      </c>
      <c r="O19" s="18">
        <f>N19</f>
        <v>-1392</v>
      </c>
    </row>
    <row r="20" ht="20.05" customHeight="1">
      <c r="B20" s="28">
        <v>2022</v>
      </c>
      <c r="C20" s="17"/>
      <c r="D20" s="18"/>
      <c r="E20" s="18"/>
      <c r="F20" s="18"/>
      <c r="G20" s="18"/>
      <c r="H20" s="18"/>
      <c r="I20" s="18"/>
      <c r="J20" s="18"/>
      <c r="K20" s="18"/>
      <c r="L20" s="20"/>
      <c r="M20" s="18">
        <f>SUM('Model'!F9:F10)</f>
        <v>405.253483573370</v>
      </c>
      <c r="N20" s="20"/>
      <c r="O20" s="18">
        <f>'Model'!F33</f>
        <v>-646.7863229051781</v>
      </c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35156" style="31" customWidth="1"/>
    <col min="2" max="10" width="9.9375" style="31" customWidth="1"/>
    <col min="11" max="16384" width="16.3516" style="31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3">
        <v>1</v>
      </c>
      <c r="B2" t="s" s="5">
        <v>55</v>
      </c>
      <c r="C2" t="s" s="5">
        <v>56</v>
      </c>
      <c r="D2" t="s" s="5">
        <v>23</v>
      </c>
      <c r="E2" t="s" s="5">
        <v>24</v>
      </c>
      <c r="F2" t="s" s="5">
        <v>12</v>
      </c>
      <c r="G2" t="s" s="5">
        <v>26</v>
      </c>
      <c r="H2" t="s" s="5">
        <v>57</v>
      </c>
      <c r="I2" t="s" s="5">
        <v>58</v>
      </c>
      <c r="J2" t="s" s="5">
        <v>35</v>
      </c>
    </row>
    <row r="3" ht="19.75" customHeight="1">
      <c r="A3" s="23">
        <v>2018</v>
      </c>
      <c r="B3" s="24">
        <v>1294</v>
      </c>
      <c r="C3" s="25">
        <v>5053</v>
      </c>
      <c r="D3" s="25">
        <f>C3-B3</f>
        <v>3759</v>
      </c>
      <c r="E3" s="25">
        <v>383</v>
      </c>
      <c r="F3" s="25">
        <v>643</v>
      </c>
      <c r="G3" s="25">
        <f>C3-F3</f>
        <v>4410</v>
      </c>
      <c r="H3" s="25">
        <f>F3+G3-D3-B3</f>
        <v>0</v>
      </c>
      <c r="I3" s="25">
        <f>B3-F3</f>
        <v>651</v>
      </c>
      <c r="J3" s="25"/>
    </row>
    <row r="4" ht="19.75" customHeight="1">
      <c r="A4" s="28">
        <v>2019</v>
      </c>
      <c r="B4" s="17">
        <v>856</v>
      </c>
      <c r="C4" s="18">
        <v>4947</v>
      </c>
      <c r="D4" s="18">
        <f>C4-B4</f>
        <v>4091</v>
      </c>
      <c r="E4" s="18">
        <v>465</v>
      </c>
      <c r="F4" s="18">
        <v>728</v>
      </c>
      <c r="G4" s="18">
        <f>C4-F4</f>
        <v>4219</v>
      </c>
      <c r="H4" s="18">
        <f>F4+G4-D4-B4</f>
        <v>0</v>
      </c>
      <c r="I4" s="18">
        <f>B4-F4</f>
        <v>128</v>
      </c>
      <c r="J4" s="18"/>
    </row>
    <row r="5" ht="19.75" customHeight="1">
      <c r="A5" s="28">
        <v>2020</v>
      </c>
      <c r="B5" s="17">
        <v>1361</v>
      </c>
      <c r="C5" s="18">
        <v>5871</v>
      </c>
      <c r="D5" s="18">
        <f>C5-B5</f>
        <v>4510</v>
      </c>
      <c r="E5" s="18">
        <v>564</v>
      </c>
      <c r="F5" s="18">
        <v>1186</v>
      </c>
      <c r="G5" s="18">
        <f>C5-F5</f>
        <v>4685</v>
      </c>
      <c r="H5" s="18">
        <f>F5+G5-D5-B5</f>
        <v>0</v>
      </c>
      <c r="I5" s="18">
        <f>B5-F5</f>
        <v>175</v>
      </c>
      <c r="J5" s="18"/>
    </row>
    <row r="6" ht="19.75" customHeight="1">
      <c r="A6" s="28">
        <v>2021</v>
      </c>
      <c r="B6" s="17">
        <v>1475</v>
      </c>
      <c r="C6" s="18">
        <v>6140</v>
      </c>
      <c r="D6" s="18">
        <f>C6-B6</f>
        <v>4665</v>
      </c>
      <c r="E6" s="18">
        <v>608</v>
      </c>
      <c r="F6" s="18">
        <v>2903</v>
      </c>
      <c r="G6" s="18">
        <f>C6-F6</f>
        <v>3237</v>
      </c>
      <c r="H6" s="18">
        <f>F6+G6-D6-B6</f>
        <v>0</v>
      </c>
      <c r="I6" s="18">
        <f>B6-F6</f>
        <v>-1428</v>
      </c>
      <c r="J6" s="18"/>
    </row>
    <row r="7" ht="19.75" customHeight="1">
      <c r="A7" s="27"/>
      <c r="B7" s="17">
        <v>1288</v>
      </c>
      <c r="C7" s="18">
        <v>10874</v>
      </c>
      <c r="D7" s="18">
        <f>C7-B7</f>
        <v>9586</v>
      </c>
      <c r="E7" s="18">
        <f>E6+'Sales'!E19</f>
        <v>654.75</v>
      </c>
      <c r="F7" s="18">
        <v>1458</v>
      </c>
      <c r="G7" s="18">
        <f>C7-F7</f>
        <v>9416</v>
      </c>
      <c r="H7" s="18">
        <f>F7+G7-D7-B7</f>
        <v>0</v>
      </c>
      <c r="I7" s="18">
        <f>B7-F7</f>
        <v>-170</v>
      </c>
      <c r="J7" s="18">
        <f>I7</f>
        <v>-170</v>
      </c>
    </row>
    <row r="8" ht="19.75" customHeight="1">
      <c r="A8" s="28">
        <v>2022</v>
      </c>
      <c r="B8" s="17"/>
      <c r="C8" s="18"/>
      <c r="D8" s="18"/>
      <c r="E8" s="18"/>
      <c r="F8" s="18"/>
      <c r="G8" s="18"/>
      <c r="H8" s="18"/>
      <c r="I8" s="18"/>
      <c r="J8" s="18">
        <f>'Model'!F31</f>
        <v>875.182175721250</v>
      </c>
    </row>
    <row r="9" ht="19.75" customHeight="1">
      <c r="A9" s="27"/>
      <c r="B9" s="17"/>
      <c r="C9" s="18"/>
      <c r="D9" s="18"/>
      <c r="E9" s="18"/>
      <c r="F9" s="18"/>
      <c r="G9" s="18"/>
      <c r="H9" s="18"/>
      <c r="I9" s="18"/>
      <c r="J9" s="18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E20"/>
  <sheetViews>
    <sheetView workbookViewId="0" showGridLines="0" defaultGridColor="1"/>
  </sheetViews>
  <sheetFormatPr defaultColWidth="8.33333" defaultRowHeight="19.9" customHeight="1" outlineLevelRow="0" outlineLevelCol="0"/>
  <cols>
    <col min="1" max="1" width="3.02344" style="32" customWidth="1"/>
    <col min="2" max="2" width="5.26562" style="32" customWidth="1"/>
    <col min="3" max="3" width="11.1875" style="32" customWidth="1"/>
    <col min="4" max="5" width="7.60156" style="32" customWidth="1"/>
    <col min="6" max="16384" width="8.35156" style="32" customWidth="1"/>
  </cols>
  <sheetData>
    <row r="1" ht="27.65" customHeight="1">
      <c r="B1" t="s" s="2">
        <v>59</v>
      </c>
      <c r="C1" s="2"/>
      <c r="D1" s="2"/>
      <c r="E1" s="2"/>
    </row>
    <row r="2" ht="20.25" customHeight="1">
      <c r="B2" s="33"/>
      <c r="C2" t="s" s="34">
        <v>60</v>
      </c>
      <c r="D2" t="s" s="34">
        <v>61</v>
      </c>
      <c r="E2" t="s" s="34">
        <v>62</v>
      </c>
    </row>
    <row r="3" ht="20.25" customHeight="1">
      <c r="B3" s="35">
        <v>2018</v>
      </c>
      <c r="C3" s="36"/>
      <c r="D3" s="37"/>
      <c r="E3" s="37"/>
    </row>
    <row r="4" ht="20.05" customHeight="1">
      <c r="B4" s="38"/>
      <c r="C4" s="39"/>
      <c r="D4" s="40"/>
      <c r="E4" s="40"/>
    </row>
    <row r="5" ht="20.05" customHeight="1">
      <c r="B5" s="38"/>
      <c r="C5" s="39"/>
      <c r="D5" s="40"/>
      <c r="E5" s="40"/>
    </row>
    <row r="6" ht="20.05" customHeight="1">
      <c r="B6" s="38"/>
      <c r="C6" s="39"/>
      <c r="D6" s="40"/>
      <c r="E6" s="40"/>
    </row>
    <row r="7" ht="20.05" customHeight="1">
      <c r="B7" s="41">
        <v>2019</v>
      </c>
      <c r="C7" s="39"/>
      <c r="D7" s="40"/>
      <c r="E7" s="40"/>
    </row>
    <row r="8" ht="20.05" customHeight="1">
      <c r="B8" s="38"/>
      <c r="C8" s="39"/>
      <c r="D8" s="40"/>
      <c r="E8" s="40"/>
    </row>
    <row r="9" ht="20.05" customHeight="1">
      <c r="B9" s="38"/>
      <c r="C9" s="39"/>
      <c r="D9" s="40"/>
      <c r="E9" s="40"/>
    </row>
    <row r="10" ht="20.05" customHeight="1">
      <c r="B10" s="38"/>
      <c r="C10" s="39"/>
      <c r="D10" s="42"/>
      <c r="E10" s="42"/>
    </row>
    <row r="11" ht="20.05" customHeight="1">
      <c r="B11" s="41">
        <v>2020</v>
      </c>
      <c r="C11" s="39"/>
      <c r="D11" s="42"/>
      <c r="E11" s="42"/>
    </row>
    <row r="12" ht="20.05" customHeight="1">
      <c r="B12" s="38"/>
      <c r="C12" s="39"/>
      <c r="D12" s="42"/>
      <c r="E12" s="42"/>
    </row>
    <row r="13" ht="20.05" customHeight="1">
      <c r="B13" s="38"/>
      <c r="C13" s="39"/>
      <c r="D13" s="42"/>
      <c r="E13" s="42"/>
    </row>
    <row r="14" ht="20.05" customHeight="1">
      <c r="B14" s="38"/>
      <c r="C14" s="39"/>
      <c r="D14" s="42"/>
      <c r="E14" s="42"/>
    </row>
    <row r="15" ht="20.05" customHeight="1">
      <c r="B15" s="41">
        <v>2021</v>
      </c>
      <c r="C15" s="39"/>
      <c r="D15" s="42"/>
      <c r="E15" s="42"/>
    </row>
    <row r="16" ht="20.05" customHeight="1">
      <c r="B16" s="38"/>
      <c r="C16" s="39"/>
      <c r="D16" s="42"/>
      <c r="E16" s="42"/>
    </row>
    <row r="17" ht="20.05" customHeight="1">
      <c r="B17" s="38"/>
      <c r="C17" s="39">
        <v>865</v>
      </c>
      <c r="D17" s="42"/>
      <c r="E17" s="42"/>
    </row>
    <row r="18" ht="20.05" customHeight="1">
      <c r="B18" s="38"/>
      <c r="C18" s="39">
        <v>925</v>
      </c>
      <c r="D18" s="42"/>
      <c r="E18" s="42"/>
    </row>
    <row r="19" ht="20.05" customHeight="1">
      <c r="B19" s="41">
        <v>2022</v>
      </c>
      <c r="C19" s="39">
        <v>785</v>
      </c>
      <c r="D19" s="43">
        <f>C19</f>
        <v>785</v>
      </c>
      <c r="E19" s="42"/>
    </row>
    <row r="20" ht="20.05" customHeight="1">
      <c r="B20" s="38"/>
      <c r="C20" s="39"/>
      <c r="D20" s="43">
        <f>'Model'!F44</f>
        <v>814.386275694214</v>
      </c>
      <c r="E20" s="42"/>
    </row>
  </sheetData>
  <mergeCells count="1">
    <mergeCell ref="B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