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<sst xmlns="http://schemas.openxmlformats.org/spreadsheetml/2006/main" uniqueCount="63">
  <si>
    <t>Financial model</t>
  </si>
  <si>
    <t>Rp 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</si>
  <si>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</si>
  <si>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</si>
  <si>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</si>
  <si>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</si>
  <si>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</si>
  <si>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</si>
  <si>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</si>
  <si>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</si>
  <si>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Leases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</si>
  <si>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</si>
  <si>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</si>
  <si>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</si>
  <si>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</si>
  <si>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</si>
  <si>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</si>
  <si>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</si>
  <si>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</t>
  </si>
  <si>
    <t>Profit</t>
  </si>
  <si>
    <t xml:space="preserve">Non cash costs </t>
  </si>
  <si>
    <t>JV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</si>
  <si>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</si>
  <si>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</si>
  <si>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</si>
  <si>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</si>
  <si>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</si>
  <si>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</si>
  <si>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</si>
  <si>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</si>
  <si>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</si>
  <si>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</si>
  <si>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</si>
  <si>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</si>
  <si>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</si>
  <si>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years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</si>
  <si>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</si>
  <si>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</si>
  <si>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</si>
  <si>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</si>
  <si>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</si>
  <si>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</si>
  <si>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</si>
  <si>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 </t>
  </si>
  <si>
    <t xml:space="preserve">Rp bn </t>
  </si>
  <si>
    <t>JVs</t>
  </si>
  <si>
    <t xml:space="preserve">Sales growth </t>
  </si>
  <si>
    <t xml:space="preserve">Cost ratio </t>
  </si>
  <si>
    <t xml:space="preserve">Cashflow costs </t>
  </si>
  <si>
    <t>Receipts</t>
  </si>
  <si>
    <t xml:space="preserve">Interest </t>
  </si>
  <si>
    <t xml:space="preserve">Operating </t>
  </si>
  <si>
    <t xml:space="preserve">Investment </t>
  </si>
  <si>
    <t>Finance</t>
  </si>
  <si>
    <t xml:space="preserve">Fee cashflow </t>
  </si>
  <si>
    <t>Cash</t>
  </si>
  <si>
    <t>Assets</t>
  </si>
  <si>
    <t xml:space="preserve">Other assets </t>
  </si>
  <si>
    <t xml:space="preserve">Net cash </t>
  </si>
  <si>
    <t>AUTO</t>
  </si>
  <si>
    <t>Share Price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</si>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</sst>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493613</xdr:colOff>
      <xdr:row>2</xdr:row>
      <xdr:rowOff>47265</xdr:rowOff>
    </xdr:from>
    <xdr:to>
      <xdr:col>13</xdr:col>
      <xdr:colOff>901132</xdr:colOff>
      <xdr:row>48</xdr:row>
      <xdr:rowOff>142595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14813" y="700680"/>
          <a:ext cx="9119720" cy="118136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7.4375" style="1" customWidth="1"/>
    <col min="3" max="6" width="8.75781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AVERAGE('Sales'!H24:H27)</f>
        <v>0.062919907055872</v>
      </c>
      <c r="D4" s="8"/>
      <c r="E4" s="8"/>
      <c r="F4" s="9">
        <f>AVERAGE(C5:F5)</f>
        <v>0.04</v>
      </c>
    </row>
    <row r="5" ht="20.05" customHeight="1">
      <c r="B5" t="s" s="10">
        <v>4</v>
      </c>
      <c r="C5" s="11">
        <v>0.07000000000000001</v>
      </c>
      <c r="D5" s="12">
        <v>-0.02</v>
      </c>
      <c r="E5" s="12">
        <v>0.12</v>
      </c>
      <c r="F5" s="12">
        <v>-0.01</v>
      </c>
    </row>
    <row r="6" ht="20.05" customHeight="1">
      <c r="B6" t="s" s="10">
        <v>5</v>
      </c>
      <c r="C6" s="13">
        <f>'Sales'!C27*(1+C5)</f>
        <v>4399.305</v>
      </c>
      <c r="D6" s="14">
        <f>C6*(1+D5)</f>
        <v>4311.3189</v>
      </c>
      <c r="E6" s="14">
        <f>D6*(1+E5)</f>
        <v>4828.677168</v>
      </c>
      <c r="F6" s="14">
        <f>E6*(1+F5)</f>
        <v>4780.39039632</v>
      </c>
    </row>
    <row r="7" ht="20.05" customHeight="1">
      <c r="B7" t="s" s="10">
        <v>6</v>
      </c>
      <c r="C7" s="15">
        <f>AVERAGE('Sales'!I26)</f>
        <v>-0.95063125144635</v>
      </c>
      <c r="D7" s="16">
        <f>C7</f>
        <v>-0.95063125144635</v>
      </c>
      <c r="E7" s="16">
        <f>D7</f>
        <v>-0.95063125144635</v>
      </c>
      <c r="F7" s="16">
        <f>E7</f>
        <v>-0.95063125144635</v>
      </c>
    </row>
    <row r="8" ht="20.05" customHeight="1">
      <c r="B8" t="s" s="10">
        <v>7</v>
      </c>
      <c r="C8" s="17">
        <f>C7*C6</f>
        <v>-4182.116817644180</v>
      </c>
      <c r="D8" s="18">
        <f>D7*D6</f>
        <v>-4098.4744812913</v>
      </c>
      <c r="E8" s="18">
        <f>E7*E6</f>
        <v>-4590.291419046260</v>
      </c>
      <c r="F8" s="18">
        <f>F7*F6</f>
        <v>-4544.388504855790</v>
      </c>
    </row>
    <row r="9" ht="20.05" customHeight="1">
      <c r="B9" t="s" s="10">
        <v>8</v>
      </c>
      <c r="C9" s="17">
        <f>C6+C8</f>
        <v>217.188182355820</v>
      </c>
      <c r="D9" s="18">
        <f>D6+D8</f>
        <v>212.8444187087</v>
      </c>
      <c r="E9" s="18">
        <f>E6+E8</f>
        <v>238.385748953740</v>
      </c>
      <c r="F9" s="18">
        <f>F6+F8</f>
        <v>236.001891464210</v>
      </c>
    </row>
    <row r="10" ht="20.05" customHeight="1">
      <c r="B10" t="s" s="10">
        <v>9</v>
      </c>
      <c r="C10" s="17">
        <f>AVERAGE('Cashflow'!G26)</f>
        <v>-25</v>
      </c>
      <c r="D10" s="18">
        <f>C10</f>
        <v>-25</v>
      </c>
      <c r="E10" s="18">
        <f>D10</f>
        <v>-25</v>
      </c>
      <c r="F10" s="18">
        <f>E10</f>
        <v>-25</v>
      </c>
    </row>
    <row r="11" ht="20.05" customHeight="1">
      <c r="B11" t="s" s="10">
        <v>10</v>
      </c>
      <c r="C11" s="17">
        <f>'Cashflow'!E27</f>
        <v>-6.5</v>
      </c>
      <c r="D11" s="18">
        <f>C11</f>
        <v>-6.5</v>
      </c>
      <c r="E11" s="18">
        <f>D11</f>
        <v>-6.5</v>
      </c>
      <c r="F11" s="18">
        <f>E11</f>
        <v>-6.5</v>
      </c>
    </row>
    <row r="12" ht="20.05" customHeight="1">
      <c r="B12" t="s" s="10">
        <v>11</v>
      </c>
      <c r="C12" s="17">
        <f>C13+C14+C16</f>
        <v>-192.188182355820</v>
      </c>
      <c r="D12" s="18">
        <f>D13+D14+D16</f>
        <v>-187.8444187087</v>
      </c>
      <c r="E12" s="18">
        <f>E13+E14+E16</f>
        <v>-213.385748953740</v>
      </c>
      <c r="F12" s="18">
        <f>F13+F14+F16</f>
        <v>-211.001891464210</v>
      </c>
    </row>
    <row r="13" ht="20.05" customHeight="1">
      <c r="B13" t="s" s="10">
        <v>12</v>
      </c>
      <c r="C13" s="17">
        <f>-('Balance sheet'!H27)/20</f>
        <v>-592.3</v>
      </c>
      <c r="D13" s="18">
        <f>-C28/20</f>
        <v>-225.435</v>
      </c>
      <c r="E13" s="18">
        <f>-D28/20</f>
        <v>-214.16325</v>
      </c>
      <c r="F13" s="18">
        <f>-E28/20</f>
        <v>-203.4550875</v>
      </c>
    </row>
    <row r="14" ht="20.05" customHeight="1">
      <c r="B14" t="s" s="10">
        <v>13</v>
      </c>
      <c r="C14" s="17">
        <f>IF(C23&gt;0,-C23*0.3,0)</f>
        <v>-78.506454706746</v>
      </c>
      <c r="D14" s="18">
        <f>IF(D23&gt;0,-D23*0.3,0)</f>
        <v>-77.203325612610</v>
      </c>
      <c r="E14" s="18">
        <f>IF(E23&gt;0,-E23*0.3,0)</f>
        <v>-84.86572468612199</v>
      </c>
      <c r="F14" s="18">
        <f>IF(F23&gt;0,-F23*0.3,0)</f>
        <v>-84.150567439263</v>
      </c>
    </row>
    <row r="15" ht="20.05" customHeight="1">
      <c r="B15" t="s" s="10">
        <v>14</v>
      </c>
      <c r="C15" s="17">
        <f>C9+C10+C13+C14</f>
        <v>-478.618272350926</v>
      </c>
      <c r="D15" s="18">
        <f>D9+D10+D13+D14</f>
        <v>-114.793906903910</v>
      </c>
      <c r="E15" s="18">
        <f>E9+E10+E13+E14</f>
        <v>-85.64322573238201</v>
      </c>
      <c r="F15" s="18">
        <f>F9+F10+F13+F14</f>
        <v>-76.603763475053</v>
      </c>
    </row>
    <row r="16" ht="20.05" customHeight="1">
      <c r="B16" t="s" s="10">
        <v>15</v>
      </c>
      <c r="C16" s="17">
        <f>-MIN(0,C15)</f>
        <v>478.618272350926</v>
      </c>
      <c r="D16" s="18">
        <f>-MIN(C29,D15)</f>
        <v>114.793906903910</v>
      </c>
      <c r="E16" s="18">
        <f>-MIN(D29,E15)</f>
        <v>85.64322573238201</v>
      </c>
      <c r="F16" s="18">
        <f>-MIN(E29,F15)</f>
        <v>76.603763475053</v>
      </c>
    </row>
    <row r="17" ht="20.05" customHeight="1">
      <c r="B17" t="s" s="10">
        <v>16</v>
      </c>
      <c r="C17" s="17">
        <f>'Balance sheet'!C27</f>
        <v>1837</v>
      </c>
      <c r="D17" s="18">
        <f>C19</f>
        <v>1837</v>
      </c>
      <c r="E17" s="18">
        <f>D19</f>
        <v>1837</v>
      </c>
      <c r="F17" s="18">
        <f>E19</f>
        <v>1837</v>
      </c>
    </row>
    <row r="18" ht="20.05" customHeight="1">
      <c r="B18" t="s" s="10">
        <v>17</v>
      </c>
      <c r="C18" s="17">
        <f>C9+C10+C12</f>
        <v>0</v>
      </c>
      <c r="D18" s="18">
        <f>D9+D10+D12</f>
        <v>0</v>
      </c>
      <c r="E18" s="18">
        <f>E9+E10+E12</f>
        <v>0</v>
      </c>
      <c r="F18" s="18">
        <f>F9+F10+F12</f>
        <v>0</v>
      </c>
    </row>
    <row r="19" ht="20.05" customHeight="1">
      <c r="B19" t="s" s="10">
        <v>18</v>
      </c>
      <c r="C19" s="17">
        <f>C17+C18</f>
        <v>1837</v>
      </c>
      <c r="D19" s="18">
        <f>D17+D18</f>
        <v>1837</v>
      </c>
      <c r="E19" s="18">
        <f>E17+E18</f>
        <v>1837</v>
      </c>
      <c r="F19" s="18">
        <f>F17+F18</f>
        <v>1837</v>
      </c>
    </row>
    <row r="20" ht="20.05" customHeight="1">
      <c r="B20" t="s" s="19">
        <v>19</v>
      </c>
      <c r="C20" s="17"/>
      <c r="D20" s="18"/>
      <c r="E20" s="18"/>
      <c r="F20" s="20"/>
    </row>
    <row r="21" ht="20.05" customHeight="1">
      <c r="B21" t="s" s="10">
        <v>20</v>
      </c>
      <c r="C21" s="17">
        <f>-AVERAGE('Sales'!E27)</f>
        <v>-135.6</v>
      </c>
      <c r="D21" s="18">
        <f>C21</f>
        <v>-135.6</v>
      </c>
      <c r="E21" s="18">
        <f>D21</f>
        <v>-135.6</v>
      </c>
      <c r="F21" s="18">
        <f>E21</f>
        <v>-135.6</v>
      </c>
    </row>
    <row r="22" ht="20.05" customHeight="1">
      <c r="B22" t="s" s="10">
        <v>21</v>
      </c>
      <c r="C22" s="17">
        <f>'Sales'!F27</f>
        <v>180.1</v>
      </c>
      <c r="D22" s="18">
        <f>C22</f>
        <v>180.1</v>
      </c>
      <c r="E22" s="18">
        <f>D22</f>
        <v>180.1</v>
      </c>
      <c r="F22" s="18">
        <f>E22</f>
        <v>180.1</v>
      </c>
    </row>
    <row r="23" ht="20.05" customHeight="1">
      <c r="B23" t="s" s="10">
        <v>22</v>
      </c>
      <c r="C23" s="17">
        <f>C6+C22+C8+C21</f>
        <v>261.688182355820</v>
      </c>
      <c r="D23" s="18">
        <f>D6+D22+D8+D21</f>
        <v>257.3444187087</v>
      </c>
      <c r="E23" s="18">
        <f>E6+E22+E8+E21</f>
        <v>282.885748953740</v>
      </c>
      <c r="F23" s="18">
        <f>F6+F22+F8+F21</f>
        <v>280.501891464210</v>
      </c>
    </row>
    <row r="24" ht="20.05" customHeight="1">
      <c r="B24" t="s" s="19">
        <v>23</v>
      </c>
      <c r="C24" s="17"/>
      <c r="D24" s="18"/>
      <c r="E24" s="18"/>
      <c r="F24" s="18"/>
    </row>
    <row r="25" ht="20.05" customHeight="1">
      <c r="B25" t="s" s="10">
        <v>24</v>
      </c>
      <c r="C25" s="17">
        <f>'Balance sheet'!E27+'Balance sheet'!F27-C10+C22</f>
        <v>19682.1</v>
      </c>
      <c r="D25" s="18">
        <f>C25-D10+D22</f>
        <v>19887.2</v>
      </c>
      <c r="E25" s="18">
        <f>D25-E10+E22</f>
        <v>20092.3</v>
      </c>
      <c r="F25" s="18">
        <f>E25-F10+F22</f>
        <v>20297.4</v>
      </c>
    </row>
    <row r="26" ht="20.05" customHeight="1">
      <c r="B26" t="s" s="10">
        <v>25</v>
      </c>
      <c r="C26" s="17">
        <f>'Balance sheet'!F27-C21</f>
        <v>4502.6</v>
      </c>
      <c r="D26" s="18">
        <f>C26-D21</f>
        <v>4638.2</v>
      </c>
      <c r="E26" s="18">
        <f>D26-E21</f>
        <v>4773.8</v>
      </c>
      <c r="F26" s="18">
        <f>E26-F21</f>
        <v>4909.4</v>
      </c>
    </row>
    <row r="27" ht="20.05" customHeight="1">
      <c r="B27" t="s" s="10">
        <v>26</v>
      </c>
      <c r="C27" s="17">
        <f>C25-C26</f>
        <v>15179.5</v>
      </c>
      <c r="D27" s="18">
        <f>D25-D26</f>
        <v>15249</v>
      </c>
      <c r="E27" s="18">
        <f>E25-E26</f>
        <v>15318.5</v>
      </c>
      <c r="F27" s="18">
        <f>F25-F26</f>
        <v>15388</v>
      </c>
    </row>
    <row r="28" ht="20.05" customHeight="1">
      <c r="B28" t="s" s="10">
        <v>12</v>
      </c>
      <c r="C28" s="17">
        <f>'Balance sheet'!G27+C13</f>
        <v>4508.7</v>
      </c>
      <c r="D28" s="18">
        <f>C28+D13</f>
        <v>4283.265</v>
      </c>
      <c r="E28" s="18">
        <f>D28+E13</f>
        <v>4069.10175</v>
      </c>
      <c r="F28" s="18">
        <f>E28+F13</f>
        <v>3865.6466625</v>
      </c>
    </row>
    <row r="29" ht="20.05" customHeight="1">
      <c r="B29" t="s" s="10">
        <v>15</v>
      </c>
      <c r="C29" s="17">
        <f>C16</f>
        <v>478.618272350926</v>
      </c>
      <c r="D29" s="18">
        <f>C29+D16</f>
        <v>593.412179254836</v>
      </c>
      <c r="E29" s="18">
        <f>D29+E16</f>
        <v>679.055404987218</v>
      </c>
      <c r="F29" s="18">
        <f>E29+F16</f>
        <v>755.6591684622711</v>
      </c>
    </row>
    <row r="30" ht="20.05" customHeight="1">
      <c r="B30" t="s" s="10">
        <v>27</v>
      </c>
      <c r="C30" s="17">
        <f>'Balance sheet'!H27+C23+C14</f>
        <v>12029.1817276491</v>
      </c>
      <c r="D30" s="18">
        <f>C30+D23+D14</f>
        <v>12209.3228207452</v>
      </c>
      <c r="E30" s="18">
        <f>D30+E23+E14</f>
        <v>12407.3428450128</v>
      </c>
      <c r="F30" s="18">
        <f>E30+F23+F14</f>
        <v>12603.6941690377</v>
      </c>
    </row>
    <row r="31" ht="20.05" customHeight="1">
      <c r="B31" t="s" s="10">
        <v>28</v>
      </c>
      <c r="C31" s="17">
        <f>C28+C29+C30-C19-C27</f>
        <v>2.6e-11</v>
      </c>
      <c r="D31" s="18">
        <f>D28+D29+D30-D19-D27</f>
        <v>3.6e-11</v>
      </c>
      <c r="E31" s="18">
        <f>E28+E29+E30-E19-E27</f>
        <v>1.8e-11</v>
      </c>
      <c r="F31" s="18">
        <f>F28+F29+F30-F19-F27</f>
        <v>-2.9e-11</v>
      </c>
    </row>
    <row r="32" ht="20.05" customHeight="1">
      <c r="B32" t="s" s="10">
        <v>29</v>
      </c>
      <c r="C32" s="17">
        <f>C19-C28-C29</f>
        <v>-3150.318272350930</v>
      </c>
      <c r="D32" s="18">
        <f>D19-D28-D29</f>
        <v>-3039.677179254840</v>
      </c>
      <c r="E32" s="18">
        <f>E19-E28-E29</f>
        <v>-2911.157154987220</v>
      </c>
      <c r="F32" s="18">
        <f>F19-F28-F29</f>
        <v>-2784.305830962270</v>
      </c>
    </row>
    <row r="33" ht="20.05" customHeight="1">
      <c r="B33" t="s" s="19">
        <v>30</v>
      </c>
      <c r="C33" s="17"/>
      <c r="D33" s="18"/>
      <c r="E33" s="18"/>
      <c r="F33" s="18"/>
    </row>
    <row r="34" ht="20.05" customHeight="1">
      <c r="B34" t="s" s="10">
        <v>31</v>
      </c>
      <c r="C34" s="17">
        <f>'Cashflow'!N27-(C12-C11)</f>
        <v>2446.088182355820</v>
      </c>
      <c r="D34" s="18">
        <f>C34-(D12-D11)</f>
        <v>2627.432601064520</v>
      </c>
      <c r="E34" s="18">
        <f>D34-(E12-E11)</f>
        <v>2834.318350018260</v>
      </c>
      <c r="F34" s="18">
        <f>E34-(F12-F11)</f>
        <v>3038.820241482470</v>
      </c>
    </row>
    <row r="35" ht="20.05" customHeight="1">
      <c r="B35" t="s" s="10">
        <v>32</v>
      </c>
      <c r="C35" s="17"/>
      <c r="D35" s="18"/>
      <c r="E35" s="18"/>
      <c r="F35" s="18">
        <v>5229</v>
      </c>
    </row>
    <row r="36" ht="20.05" customHeight="1">
      <c r="B36" t="s" s="10">
        <v>33</v>
      </c>
      <c r="C36" s="17"/>
      <c r="D36" s="18"/>
      <c r="E36" s="18"/>
      <c r="F36" s="21">
        <f>F35/(F19+F27)</f>
        <v>0.303570391872279</v>
      </c>
    </row>
    <row r="37" ht="20.05" customHeight="1">
      <c r="B37" t="s" s="10">
        <v>34</v>
      </c>
      <c r="C37" s="17"/>
      <c r="D37" s="18"/>
      <c r="E37" s="18"/>
      <c r="F37" s="16">
        <f>-(C14+D14+E14+F14)/F35</f>
        <v>0.0621009891843069</v>
      </c>
    </row>
    <row r="38" ht="20.05" customHeight="1">
      <c r="B38" t="s" s="10">
        <v>3</v>
      </c>
      <c r="C38" s="17"/>
      <c r="D38" s="18"/>
      <c r="E38" s="18"/>
      <c r="F38" s="18">
        <f>SUM(C9:F10)</f>
        <v>804.420241482470</v>
      </c>
    </row>
    <row r="39" ht="20.05" customHeight="1">
      <c r="B39" t="s" s="10">
        <v>35</v>
      </c>
      <c r="C39" s="17"/>
      <c r="D39" s="18"/>
      <c r="E39" s="18"/>
      <c r="F39" s="18">
        <f>'Balance sheet'!E27/F38</f>
        <v>18.7837143085233</v>
      </c>
    </row>
    <row r="40" ht="20.05" customHeight="1">
      <c r="B40" t="s" s="10">
        <v>30</v>
      </c>
      <c r="C40" s="17"/>
      <c r="D40" s="18"/>
      <c r="E40" s="18"/>
      <c r="F40" s="18">
        <f>F35/F38</f>
        <v>6.50033369419378</v>
      </c>
    </row>
    <row r="41" ht="20.05" customHeight="1">
      <c r="B41" t="s" s="10">
        <v>36</v>
      </c>
      <c r="C41" s="17"/>
      <c r="D41" s="18"/>
      <c r="E41" s="18"/>
      <c r="F41" s="18">
        <v>10</v>
      </c>
    </row>
    <row r="42" ht="20.05" customHeight="1">
      <c r="B42" t="s" s="10">
        <v>37</v>
      </c>
      <c r="C42" s="17"/>
      <c r="D42" s="18"/>
      <c r="E42" s="18"/>
      <c r="F42" s="18">
        <f>F38*F41</f>
        <v>8044.2024148247</v>
      </c>
    </row>
    <row r="43" ht="20.05" customHeight="1">
      <c r="B43" t="s" s="10">
        <v>38</v>
      </c>
      <c r="C43" s="17"/>
      <c r="D43" s="18"/>
      <c r="E43" s="18"/>
      <c r="F43" s="18">
        <f>F35/F45</f>
        <v>4.81935483870968</v>
      </c>
    </row>
    <row r="44" ht="20.05" customHeight="1">
      <c r="B44" t="s" s="10">
        <v>39</v>
      </c>
      <c r="C44" s="17"/>
      <c r="D44" s="18"/>
      <c r="E44" s="18"/>
      <c r="F44" s="18">
        <f>F42/F43</f>
        <v>1669.1450793813</v>
      </c>
    </row>
    <row r="45" ht="20.05" customHeight="1">
      <c r="B45" t="s" s="10">
        <v>40</v>
      </c>
      <c r="C45" s="17"/>
      <c r="D45" s="18"/>
      <c r="E45" s="18"/>
      <c r="F45" s="18">
        <f>'Share price'!C20</f>
        <v>1085</v>
      </c>
    </row>
    <row r="46" ht="20.05" customHeight="1">
      <c r="B46" t="s" s="10">
        <v>41</v>
      </c>
      <c r="C46" s="17"/>
      <c r="D46" s="18"/>
      <c r="E46" s="18"/>
      <c r="F46" s="16">
        <f>F44/F45-1</f>
        <v>0.538382561641751</v>
      </c>
    </row>
    <row r="47" ht="20.05" customHeight="1">
      <c r="B47" t="s" s="10">
        <v>42</v>
      </c>
      <c r="C47" s="17"/>
      <c r="D47" s="18"/>
      <c r="E47" s="18"/>
      <c r="F47" s="16">
        <f>'Sales'!C27/'Sales'!C23-1</f>
        <v>0.26976528721433</v>
      </c>
    </row>
    <row r="48" ht="20.05" customHeight="1">
      <c r="B48" t="s" s="10">
        <v>43</v>
      </c>
      <c r="C48" s="17"/>
      <c r="D48" s="18"/>
      <c r="E48" s="18"/>
      <c r="F48" s="16">
        <f>('Sales'!D24+'Sales'!D27+'Sales'!D25+'Sales'!D26)/('Sales'!C24+'Sales'!C25+'Sales'!C27+'Sales'!C26)-1</f>
        <v>-0.0244756467793031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73438" style="22" customWidth="1"/>
    <col min="2" max="2" width="9.01562" style="22" customWidth="1"/>
    <col min="3" max="11" width="10.0078" style="22" customWidth="1"/>
    <col min="12" max="16384" width="16.3516" style="22" customWidth="1"/>
  </cols>
  <sheetData>
    <row r="1" ht="69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44</v>
      </c>
      <c r="C3" t="s" s="5">
        <v>5</v>
      </c>
      <c r="D3" t="s" s="5">
        <v>36</v>
      </c>
      <c r="E3" t="s" s="5">
        <v>25</v>
      </c>
      <c r="F3" t="s" s="5">
        <v>45</v>
      </c>
      <c r="G3" t="s" s="5">
        <v>22</v>
      </c>
      <c r="H3" t="s" s="5">
        <v>46</v>
      </c>
      <c r="I3" t="s" s="5">
        <v>47</v>
      </c>
      <c r="J3" t="s" s="5">
        <v>36</v>
      </c>
      <c r="K3" t="s" s="5">
        <v>48</v>
      </c>
    </row>
    <row r="4" ht="20.25" customHeight="1">
      <c r="B4" s="23">
        <v>2016</v>
      </c>
      <c r="C4" s="24">
        <v>3123</v>
      </c>
      <c r="D4" s="25"/>
      <c r="E4" s="25">
        <v>123.75</v>
      </c>
      <c r="F4" s="26">
        <v>18</v>
      </c>
      <c r="G4" s="26">
        <v>112</v>
      </c>
      <c r="H4" s="9"/>
      <c r="I4" s="27">
        <f>(E4+G4-C4-F4)/C4</f>
        <v>-0.930275376240794</v>
      </c>
      <c r="J4" s="9"/>
      <c r="K4" s="9"/>
    </row>
    <row r="5" ht="20.05" customHeight="1">
      <c r="B5" s="28"/>
      <c r="C5" s="13">
        <v>3312</v>
      </c>
      <c r="D5" s="14"/>
      <c r="E5" s="14">
        <v>123.75</v>
      </c>
      <c r="F5" s="18">
        <v>-9</v>
      </c>
      <c r="G5" s="18">
        <v>96</v>
      </c>
      <c r="H5" s="12">
        <f>C5/C4-1</f>
        <v>0.0605187319884726</v>
      </c>
      <c r="I5" s="16">
        <f>(E5+G5-C5-F5)/C5</f>
        <v>-0.930932971014493</v>
      </c>
      <c r="J5" s="12"/>
      <c r="K5" s="12"/>
    </row>
    <row r="6" ht="20.05" customHeight="1">
      <c r="B6" s="28"/>
      <c r="C6" s="13">
        <v>3122</v>
      </c>
      <c r="D6" s="14"/>
      <c r="E6" s="14">
        <v>123.75</v>
      </c>
      <c r="F6" s="18">
        <v>56</v>
      </c>
      <c r="G6" s="18">
        <v>138</v>
      </c>
      <c r="H6" s="12">
        <f>C6/C5-1</f>
        <v>-0.0573671497584541</v>
      </c>
      <c r="I6" s="16">
        <f>(E6+G6-C6-F6)/C6</f>
        <v>-0.934096732863549</v>
      </c>
      <c r="J6" s="12"/>
      <c r="K6" s="12"/>
    </row>
    <row r="7" ht="20.05" customHeight="1">
      <c r="B7" s="28"/>
      <c r="C7" s="13">
        <v>3250</v>
      </c>
      <c r="D7" s="14"/>
      <c r="E7" s="14">
        <v>123.75</v>
      </c>
      <c r="F7" s="18">
        <v>165</v>
      </c>
      <c r="G7" s="18">
        <v>137</v>
      </c>
      <c r="H7" s="12">
        <f>C7/C6-1</f>
        <v>0.0409993593850096</v>
      </c>
      <c r="I7" s="16">
        <f>(E7+G7-C7-F7)/C7</f>
        <v>-0.970538461538462</v>
      </c>
      <c r="J7" s="12"/>
      <c r="K7" s="12"/>
    </row>
    <row r="8" ht="20.05" customHeight="1">
      <c r="B8" s="29">
        <v>2017</v>
      </c>
      <c r="C8" s="13">
        <v>3471.8</v>
      </c>
      <c r="D8" s="14"/>
      <c r="E8" s="14">
        <v>120.1</v>
      </c>
      <c r="F8" s="18">
        <v>76.7</v>
      </c>
      <c r="G8" s="18">
        <v>148.3</v>
      </c>
      <c r="H8" s="12">
        <f>C8/C7-1</f>
        <v>0.0682461538461538</v>
      </c>
      <c r="I8" s="16">
        <f>(E8+G8-C8-F8)/C8</f>
        <v>-0.944783685696181</v>
      </c>
      <c r="J8" s="16"/>
      <c r="K8" s="16">
        <f>('Cashflow'!F5+'Cashflow'!F6+'Cashflow'!F7+'Cashflow'!F8+'Cashflow'!D5+'Cashflow'!D6+'Cashflow'!D7+'Cashflow'!D8-'Cashflow'!C5-'Cashflow'!C6-'Cashflow'!C7-'Cashflow'!C8)/('Cashflow'!C5+'Cashflow'!C6+'Cashflow'!C7+'Cashflow'!C8)</f>
        <v>-0.92176130880348</v>
      </c>
    </row>
    <row r="9" ht="20.05" customHeight="1">
      <c r="B9" s="28"/>
      <c r="C9" s="13">
        <v>3000.1</v>
      </c>
      <c r="D9" s="14"/>
      <c r="E9" s="14">
        <v>120.4</v>
      </c>
      <c r="F9" s="18">
        <v>58.3</v>
      </c>
      <c r="G9" s="18">
        <v>42.3</v>
      </c>
      <c r="H9" s="12">
        <f>C9/C8-1</f>
        <v>-0.135866121320353</v>
      </c>
      <c r="I9" s="16">
        <f>(E9+G9-C9-F9)/C9</f>
        <v>-0.965201159961335</v>
      </c>
      <c r="J9" s="16"/>
      <c r="K9" s="16">
        <f>('Cashflow'!F6+'Cashflow'!F7+'Cashflow'!F8+'Cashflow'!F9+'Cashflow'!D6+'Cashflow'!D7+'Cashflow'!D8+'Cashflow'!D9-'Cashflow'!C6-'Cashflow'!C7-'Cashflow'!C8-'Cashflow'!C9)/('Cashflow'!C6+'Cashflow'!C7+'Cashflow'!C8+'Cashflow'!C9)</f>
        <v>-0.93224082268046</v>
      </c>
    </row>
    <row r="10" ht="20.05" customHeight="1">
      <c r="B10" s="28"/>
      <c r="C10" s="13">
        <v>3502.7</v>
      </c>
      <c r="D10" s="14"/>
      <c r="E10" s="14">
        <v>118.6</v>
      </c>
      <c r="F10" s="18">
        <v>100.9</v>
      </c>
      <c r="G10" s="18">
        <v>175</v>
      </c>
      <c r="H10" s="12">
        <f>C10/C9-1</f>
        <v>0.167527749075031</v>
      </c>
      <c r="I10" s="16">
        <f>(E10+G10-C10-F10)/C10</f>
        <v>-0.944985297056556</v>
      </c>
      <c r="J10" s="16"/>
      <c r="K10" s="16">
        <f>('Cashflow'!F7+'Cashflow'!F8+'Cashflow'!F9+'Cashflow'!F10+'Cashflow'!D7+'Cashflow'!D8+'Cashflow'!D9+'Cashflow'!D10-'Cashflow'!C7-'Cashflow'!C8-'Cashflow'!C9-'Cashflow'!C10)/('Cashflow'!C7+'Cashflow'!C8+'Cashflow'!C9+'Cashflow'!C10)</f>
        <v>-0.956916545164726</v>
      </c>
    </row>
    <row r="11" ht="20.05" customHeight="1">
      <c r="B11" s="28"/>
      <c r="C11" s="13">
        <v>3575.4</v>
      </c>
      <c r="D11" s="14"/>
      <c r="E11" s="14">
        <v>121</v>
      </c>
      <c r="F11" s="18">
        <v>99.09999999999999</v>
      </c>
      <c r="G11" s="18">
        <v>182.2</v>
      </c>
      <c r="H11" s="12">
        <f>C11/C10-1</f>
        <v>0.0207554172495503</v>
      </c>
      <c r="I11" s="16">
        <f>(E11+G11-C11-F11)/C11</f>
        <v>-0.942915477988477</v>
      </c>
      <c r="J11" s="16"/>
      <c r="K11" s="16">
        <f>('Cashflow'!F8+'Cashflow'!F9+'Cashflow'!F10+'Cashflow'!F11+'Cashflow'!D8+'Cashflow'!D9+'Cashflow'!D10+'Cashflow'!D11-'Cashflow'!C8-'Cashflow'!C9-'Cashflow'!C10-'Cashflow'!C11)/('Cashflow'!C8+'Cashflow'!C9+'Cashflow'!C10+'Cashflow'!C11)</f>
        <v>-0.976482006868747</v>
      </c>
    </row>
    <row r="12" ht="20.05" customHeight="1">
      <c r="B12" s="29">
        <v>2018</v>
      </c>
      <c r="C12" s="13">
        <v>3838.4</v>
      </c>
      <c r="D12" s="14"/>
      <c r="E12" s="14">
        <v>121.1</v>
      </c>
      <c r="F12" s="18">
        <v>60.9</v>
      </c>
      <c r="G12" s="18">
        <v>156.8</v>
      </c>
      <c r="H12" s="12">
        <f>C12/C11-1</f>
        <v>0.0735582032779549</v>
      </c>
      <c r="I12" s="16">
        <f>(E12+G12-C12-F12)/C12</f>
        <v>-0.943466027511463</v>
      </c>
      <c r="J12" s="16"/>
      <c r="K12" s="16">
        <f>('Cashflow'!F9+'Cashflow'!F10+'Cashflow'!F11+'Cashflow'!F12+'Cashflow'!D9+'Cashflow'!D10+'Cashflow'!D11+'Cashflow'!D12-'Cashflow'!C9-'Cashflow'!C10-'Cashflow'!C11-'Cashflow'!C12)/('Cashflow'!C9+'Cashflow'!C10+'Cashflow'!C11+'Cashflow'!C12)</f>
        <v>-0.963517872994566</v>
      </c>
    </row>
    <row r="13" ht="20.05" customHeight="1">
      <c r="B13" s="28"/>
      <c r="C13" s="13">
        <v>3579.9</v>
      </c>
      <c r="D13" s="14"/>
      <c r="E13" s="14">
        <v>118.7</v>
      </c>
      <c r="F13" s="18">
        <v>104.9</v>
      </c>
      <c r="G13" s="18">
        <v>62.3</v>
      </c>
      <c r="H13" s="12">
        <f>C13/C12-1</f>
        <v>-0.067345769070446</v>
      </c>
      <c r="I13" s="16">
        <f>(E13+G13-C13-F13)/C13</f>
        <v>-0.978742422972709</v>
      </c>
      <c r="J13" s="16"/>
      <c r="K13" s="16">
        <f>('Cashflow'!F10+'Cashflow'!F11+'Cashflow'!F12+'Cashflow'!F13+'Cashflow'!D10+'Cashflow'!D11+'Cashflow'!D12+'Cashflow'!D13-'Cashflow'!C10-'Cashflow'!C11-'Cashflow'!C12-'Cashflow'!C13)/('Cashflow'!C10+'Cashflow'!C11+'Cashflow'!C12+'Cashflow'!C13)</f>
        <v>-0.971352201040101</v>
      </c>
    </row>
    <row r="14" ht="20.05" customHeight="1">
      <c r="B14" s="28"/>
      <c r="C14" s="13">
        <v>4082.3</v>
      </c>
      <c r="D14" s="14"/>
      <c r="E14" s="14">
        <v>117</v>
      </c>
      <c r="F14" s="18">
        <v>155.9</v>
      </c>
      <c r="G14" s="18">
        <v>227.1</v>
      </c>
      <c r="H14" s="12">
        <f>C14/C13-1</f>
        <v>0.140339115617755</v>
      </c>
      <c r="I14" s="16">
        <f>(E14+G14-C14-F14)/C14</f>
        <v>-0.953898537589104</v>
      </c>
      <c r="J14" s="16"/>
      <c r="K14" s="16">
        <f>('Cashflow'!F11+'Cashflow'!F12+'Cashflow'!F13+'Cashflow'!F14+'Cashflow'!D11+'Cashflow'!D12+'Cashflow'!D13+'Cashflow'!D14-'Cashflow'!C11-'Cashflow'!C12-'Cashflow'!C13-'Cashflow'!C14)/('Cashflow'!C11+'Cashflow'!C12+'Cashflow'!C13+'Cashflow'!C14)</f>
        <v>-0.960708400873444</v>
      </c>
    </row>
    <row r="15" ht="20.05" customHeight="1">
      <c r="B15" s="28"/>
      <c r="C15" s="13">
        <v>3855.4</v>
      </c>
      <c r="D15" s="14"/>
      <c r="E15" s="14">
        <v>117.2</v>
      </c>
      <c r="F15" s="18">
        <v>157.3</v>
      </c>
      <c r="G15" s="18">
        <v>234.6</v>
      </c>
      <c r="H15" s="12">
        <f>C15/C14-1</f>
        <v>-0.0555814124390662</v>
      </c>
      <c r="I15" s="16">
        <f>(E15+G15-C15-F15)/C15</f>
        <v>-0.949551278725943</v>
      </c>
      <c r="J15" s="16"/>
      <c r="K15" s="16">
        <f>('Cashflow'!F12+'Cashflow'!F13+'Cashflow'!F14+'Cashflow'!F15+'Cashflow'!D12+'Cashflow'!D13+'Cashflow'!D14+'Cashflow'!D15-'Cashflow'!C12-'Cashflow'!C13-'Cashflow'!C14-'Cashflow'!C15)/('Cashflow'!C12+'Cashflow'!C13+'Cashflow'!C14+'Cashflow'!C15)</f>
        <v>-0.95969364574544</v>
      </c>
    </row>
    <row r="16" ht="20.05" customHeight="1">
      <c r="B16" s="29">
        <v>2019</v>
      </c>
      <c r="C16" s="13">
        <v>3943</v>
      </c>
      <c r="D16" s="14"/>
      <c r="E16" s="14">
        <v>120.75</v>
      </c>
      <c r="F16" s="18">
        <v>59</v>
      </c>
      <c r="G16" s="18">
        <v>189</v>
      </c>
      <c r="H16" s="12">
        <f>C16/C15-1</f>
        <v>0.0227213778077502</v>
      </c>
      <c r="I16" s="16">
        <f>(E16+G16-C16-F16)/C16</f>
        <v>-0.936406289627187</v>
      </c>
      <c r="J16" s="16"/>
      <c r="K16" s="16">
        <f>('Cashflow'!F13+'Cashflow'!F14+'Cashflow'!F15+'Cashflow'!F16+'Cashflow'!D13+'Cashflow'!D14+'Cashflow'!D15+'Cashflow'!D16-'Cashflow'!C13-'Cashflow'!C14-'Cashflow'!C15-'Cashflow'!C16)/('Cashflow'!C13+'Cashflow'!C14+'Cashflow'!C15+'Cashflow'!C16)</f>
        <v>-0.969238126627762</v>
      </c>
    </row>
    <row r="17" ht="20.05" customHeight="1">
      <c r="B17" s="28"/>
      <c r="C17" s="13">
        <v>3645</v>
      </c>
      <c r="D17" s="14"/>
      <c r="E17" s="14">
        <v>120.75</v>
      </c>
      <c r="F17" s="18">
        <v>68</v>
      </c>
      <c r="G17" s="18">
        <v>81</v>
      </c>
      <c r="H17" s="12">
        <f>C17/C16-1</f>
        <v>-0.0755769718488461</v>
      </c>
      <c r="I17" s="16">
        <f>(E17+G17-C17-F17)/C17</f>
        <v>-0.9633058984910839</v>
      </c>
      <c r="J17" s="16"/>
      <c r="K17" s="16">
        <f>('Cashflow'!F14+'Cashflow'!F15+'Cashflow'!F16+'Cashflow'!F17+'Cashflow'!D14+'Cashflow'!D15+'Cashflow'!D16+'Cashflow'!D17-'Cashflow'!C14-'Cashflow'!C15-'Cashflow'!C16-'Cashflow'!C17)/('Cashflow'!C14+'Cashflow'!C15+'Cashflow'!C16+'Cashflow'!C17)</f>
        <v>-0.955207159684523</v>
      </c>
    </row>
    <row r="18" ht="20.05" customHeight="1">
      <c r="B18" s="28"/>
      <c r="C18" s="13">
        <v>4041</v>
      </c>
      <c r="D18" s="14"/>
      <c r="E18" s="14">
        <v>120.75</v>
      </c>
      <c r="F18" s="18">
        <v>183</v>
      </c>
      <c r="G18" s="18">
        <v>294</v>
      </c>
      <c r="H18" s="12">
        <f>C18/C17-1</f>
        <v>0.108641975308642</v>
      </c>
      <c r="I18" s="16">
        <f>(E18+G18-C18-F18)/C18</f>
        <v>-0.942650334075724</v>
      </c>
      <c r="J18" s="16"/>
      <c r="K18" s="16">
        <f>('Cashflow'!F15+'Cashflow'!F16+'Cashflow'!F17+'Cashflow'!F18+'Cashflow'!D15+'Cashflow'!D16+'Cashflow'!D17+'Cashflow'!D18-'Cashflow'!C15-'Cashflow'!C16-'Cashflow'!C17-'Cashflow'!C18)/('Cashflow'!C15+'Cashflow'!C16+'Cashflow'!C17+'Cashflow'!C18)</f>
        <v>-0.939791134533933</v>
      </c>
    </row>
    <row r="19" ht="20.05" customHeight="1">
      <c r="B19" s="28"/>
      <c r="C19" s="13">
        <v>3816</v>
      </c>
      <c r="D19" s="14"/>
      <c r="E19" s="14">
        <v>120.75</v>
      </c>
      <c r="F19" s="18">
        <v>213</v>
      </c>
      <c r="G19" s="18">
        <v>253</v>
      </c>
      <c r="H19" s="12">
        <f>C19/C18-1</f>
        <v>-0.0556792873051225</v>
      </c>
      <c r="I19" s="16">
        <f>(E19+G19-C19-F19)/C19</f>
        <v>-0.957874737945493</v>
      </c>
      <c r="J19" s="16"/>
      <c r="K19" s="16">
        <f>('Cashflow'!F16+'Cashflow'!F17+'Cashflow'!F18+'Cashflow'!F19+'Cashflow'!D16+'Cashflow'!D17+'Cashflow'!D18+'Cashflow'!D19-'Cashflow'!C16-'Cashflow'!C17-'Cashflow'!C18-'Cashflow'!C19)/('Cashflow'!C16+'Cashflow'!C17+'Cashflow'!C18+'Cashflow'!C19)</f>
        <v>-0.936146765201608</v>
      </c>
    </row>
    <row r="20" ht="20.05" customHeight="1">
      <c r="B20" s="29">
        <v>2020</v>
      </c>
      <c r="C20" s="13">
        <v>3842</v>
      </c>
      <c r="D20" s="14"/>
      <c r="E20" s="14">
        <v>127.5</v>
      </c>
      <c r="F20" s="18">
        <v>23</v>
      </c>
      <c r="G20" s="18">
        <v>111</v>
      </c>
      <c r="H20" s="12">
        <f>C20/C19-1</f>
        <v>0.00681341719077568</v>
      </c>
      <c r="I20" s="16">
        <f>(E20+G20-C20-F20)/C20</f>
        <v>-0.94390942217595</v>
      </c>
      <c r="J20" s="16"/>
      <c r="K20" s="16">
        <f>('Cashflow'!F17+'Cashflow'!F18+'Cashflow'!F19+'Cashflow'!F20+'Cashflow'!D17+'Cashflow'!D18+'Cashflow'!D19+'Cashflow'!D20-'Cashflow'!C17-'Cashflow'!C18-'Cashflow'!C19-'Cashflow'!C20)/('Cashflow'!C17+'Cashflow'!C18+'Cashflow'!C19+'Cashflow'!C20)</f>
        <v>-0.926170584806684</v>
      </c>
    </row>
    <row r="21" ht="20.05" customHeight="1">
      <c r="B21" s="28"/>
      <c r="C21" s="13">
        <v>1811</v>
      </c>
      <c r="D21" s="14"/>
      <c r="E21" s="14">
        <v>127.5</v>
      </c>
      <c r="F21" s="18">
        <v>-229</v>
      </c>
      <c r="G21" s="18">
        <v>-448</v>
      </c>
      <c r="H21" s="12">
        <f>C21/C20-1</f>
        <v>-0.528630921395107</v>
      </c>
      <c r="I21" s="16">
        <f>(E21+G21-C21-F21)/C21</f>
        <v>-1.05052457205964</v>
      </c>
      <c r="J21" s="16"/>
      <c r="K21" s="16">
        <f>('Cashflow'!F18+'Cashflow'!F19+'Cashflow'!F20+'Cashflow'!F21+'Cashflow'!D18+'Cashflow'!D19+'Cashflow'!D20+'Cashflow'!D21-'Cashflow'!C18-'Cashflow'!C19-'Cashflow'!C20-'Cashflow'!C21)/('Cashflow'!C18+'Cashflow'!C19+'Cashflow'!C20+'Cashflow'!C21)</f>
        <v>-0.954389165672584</v>
      </c>
    </row>
    <row r="22" ht="20.05" customHeight="1">
      <c r="B22" s="28"/>
      <c r="C22" s="13">
        <v>2978</v>
      </c>
      <c r="D22" s="14"/>
      <c r="E22" s="14">
        <v>127.5</v>
      </c>
      <c r="F22" s="18">
        <v>-19</v>
      </c>
      <c r="G22" s="18">
        <v>49</v>
      </c>
      <c r="H22" s="12">
        <f>C22/C21-1</f>
        <v>0.644395361678631</v>
      </c>
      <c r="I22" s="16">
        <f>(E22+G22-C22-F22)/C22</f>
        <v>-0.9343519140362661</v>
      </c>
      <c r="J22" s="16"/>
      <c r="K22" s="16">
        <f>('Cashflow'!F19+'Cashflow'!F20+'Cashflow'!F21+'Cashflow'!F22+'Cashflow'!D19+'Cashflow'!D20+'Cashflow'!D21+'Cashflow'!D22-'Cashflow'!C19-'Cashflow'!C20-'Cashflow'!C21-'Cashflow'!C22)/('Cashflow'!C19+'Cashflow'!C20+'Cashflow'!C21+'Cashflow'!C22)</f>
        <v>-0.93448275862069</v>
      </c>
    </row>
    <row r="23" ht="20.05" customHeight="1">
      <c r="B23" s="28"/>
      <c r="C23" s="13">
        <v>3238</v>
      </c>
      <c r="D23" s="14"/>
      <c r="E23" s="14">
        <v>127.5</v>
      </c>
      <c r="F23" s="18">
        <v>148</v>
      </c>
      <c r="G23" s="18">
        <v>250</v>
      </c>
      <c r="H23" s="12">
        <f>C23/C22-1</f>
        <v>0.0873069173942243</v>
      </c>
      <c r="I23" s="16">
        <f>(E23+G23-C23-F23)/C23</f>
        <v>-0.929122915379864</v>
      </c>
      <c r="J23" s="16"/>
      <c r="K23" s="16">
        <f>('Cashflow'!F20+'Cashflow'!F21+'Cashflow'!F22+'Cashflow'!F23+'Cashflow'!D20+'Cashflow'!D21+'Cashflow'!D22+'Cashflow'!D23-'Cashflow'!C20-'Cashflow'!C21-'Cashflow'!C22-'Cashflow'!C23)/('Cashflow'!C20+'Cashflow'!C21+'Cashflow'!C22+'Cashflow'!C23)</f>
        <v>-0.911400704860257</v>
      </c>
    </row>
    <row r="24" ht="20.05" customHeight="1">
      <c r="B24" s="29">
        <v>2021</v>
      </c>
      <c r="C24" s="13">
        <v>3616</v>
      </c>
      <c r="D24" s="14">
        <v>3302.76</v>
      </c>
      <c r="E24" s="14">
        <f>130.8</f>
        <v>130.8</v>
      </c>
      <c r="F24" s="18">
        <v>130</v>
      </c>
      <c r="G24" s="18">
        <v>171.5</v>
      </c>
      <c r="H24" s="12">
        <f>C24/C23-1</f>
        <v>0.116738727609636</v>
      </c>
      <c r="I24" s="16">
        <f>(E24+G24-C24-F24)/C24</f>
        <v>-0.952350663716814</v>
      </c>
      <c r="J24" s="16"/>
      <c r="K24" s="16">
        <f>('Cashflow'!F21+'Cashflow'!F22+'Cashflow'!F23+'Cashflow'!F24+'Cashflow'!D21+'Cashflow'!D22+'Cashflow'!D23+'Cashflow'!D24-'Cashflow'!C21-'Cashflow'!C22-'Cashflow'!C23-'Cashflow'!C24)/('Cashflow'!C21+'Cashflow'!C22+'Cashflow'!C23+'Cashflow'!C24)</f>
        <v>-0.896219698253941</v>
      </c>
    </row>
    <row r="25" ht="20.05" customHeight="1">
      <c r="B25" s="28"/>
      <c r="C25" s="13">
        <f>7151.4-C24</f>
        <v>3535.4</v>
      </c>
      <c r="D25" s="14">
        <v>3543.68</v>
      </c>
      <c r="E25" s="14">
        <f>259.2-E24</f>
        <v>128.4</v>
      </c>
      <c r="F25" s="18">
        <f>237.5-F24</f>
        <v>107.5</v>
      </c>
      <c r="G25" s="18">
        <f>273.1-G24</f>
        <v>101.6</v>
      </c>
      <c r="H25" s="12">
        <f>C25/C24-1</f>
        <v>-0.0222898230088496</v>
      </c>
      <c r="I25" s="16">
        <f>(E25+G25-C25-F25)/C25</f>
        <v>-0.965350455394015</v>
      </c>
      <c r="J25" s="16"/>
      <c r="K25" s="16">
        <f>('Cashflow'!F22+'Cashflow'!F23+'Cashflow'!F24+'Cashflow'!F25+'Cashflow'!D22+'Cashflow'!D23+'Cashflow'!D24+'Cashflow'!D25-'Cashflow'!C22-'Cashflow'!C23-'Cashflow'!C24-'Cashflow'!C25)/('Cashflow'!C22+'Cashflow'!C23+'Cashflow'!C24+'Cashflow'!C25)</f>
        <v>-0.88885382977045</v>
      </c>
    </row>
    <row r="26" ht="20.05" customHeight="1">
      <c r="B26" s="28"/>
      <c r="C26" s="13">
        <f>11040.5-SUM(C24:C25)</f>
        <v>3889.1</v>
      </c>
      <c r="D26" s="14">
        <v>3535.4</v>
      </c>
      <c r="E26" s="14">
        <f>388.7-SUM(E24:E25)</f>
        <v>129.5</v>
      </c>
      <c r="F26" s="18">
        <f>358.8-SUM(F24:F25)</f>
        <v>121.3</v>
      </c>
      <c r="G26" s="18">
        <f>456.9-SUM(G24:G25)</f>
        <v>183.8</v>
      </c>
      <c r="H26" s="12">
        <f>C26/C25-1</f>
        <v>0.100045256548057</v>
      </c>
      <c r="I26" s="16">
        <f>(E26+G26-C26-F26)/C26</f>
        <v>-0.95063125144635</v>
      </c>
      <c r="J26" s="16"/>
      <c r="K26" s="16">
        <f>('Cashflow'!F23+'Cashflow'!F24+'Cashflow'!F25+'Cashflow'!F26+'Cashflow'!D23+'Cashflow'!D24+'Cashflow'!D25+'Cashflow'!D26-'Cashflow'!C23-'Cashflow'!C24-'Cashflow'!C25-'Cashflow'!C26)/('Cashflow'!C23+'Cashflow'!C24+'Cashflow'!C25+'Cashflow'!C26)</f>
        <v>-0.9253642088274709</v>
      </c>
    </row>
    <row r="27" ht="20.05" customHeight="1">
      <c r="B27" s="28"/>
      <c r="C27" s="13">
        <f>15152-C26-C25-C24</f>
        <v>4111.5</v>
      </c>
      <c r="D27" s="14">
        <f>'Model'!C6</f>
        <v>4399.305</v>
      </c>
      <c r="E27" s="14">
        <f>524.3-SUM(E24:E26)</f>
        <v>135.6</v>
      </c>
      <c r="F27" s="18">
        <f>538.9-SUM(F24:F26)</f>
        <v>180.1</v>
      </c>
      <c r="G27" s="18">
        <f>634.9-SUM(G24:G26)</f>
        <v>178</v>
      </c>
      <c r="H27" s="12">
        <f>C27/C26-1</f>
        <v>0.0571854670746445</v>
      </c>
      <c r="I27" s="16">
        <f>(E27+G27-C27-F27)/C27</f>
        <v>-0.967530098504196</v>
      </c>
      <c r="J27" s="16">
        <f>I27</f>
        <v>-0.967530098504196</v>
      </c>
      <c r="K27" s="16">
        <f>('Cashflow'!F24+'Cashflow'!F25+'Cashflow'!F26+'Cashflow'!F27+'Cashflow'!D24+'Cashflow'!D25+'Cashflow'!D26+'Cashflow'!D27-'Cashflow'!C24-'Cashflow'!C25-'Cashflow'!C26-'Cashflow'!C27)/('Cashflow'!C24+'Cashflow'!C25+'Cashflow'!C26+'Cashflow'!C27)</f>
        <v>-0.940959708990595</v>
      </c>
    </row>
    <row r="28" ht="20.05" customHeight="1">
      <c r="B28" s="29">
        <v>2022</v>
      </c>
      <c r="C28" s="13"/>
      <c r="D28" s="14">
        <f>'Model'!C6</f>
        <v>4399.305</v>
      </c>
      <c r="E28" s="14"/>
      <c r="F28" s="18"/>
      <c r="G28" s="18"/>
      <c r="H28" s="12"/>
      <c r="I28" s="20"/>
      <c r="J28" s="12">
        <f>'Model'!C7</f>
        <v>-0.95063125144635</v>
      </c>
      <c r="K28" s="12"/>
    </row>
    <row r="29" ht="20.05" customHeight="1">
      <c r="B29" s="28"/>
      <c r="C29" s="13"/>
      <c r="D29" s="14">
        <f>'Model'!D6</f>
        <v>4311.3189</v>
      </c>
      <c r="E29" s="14"/>
      <c r="F29" s="18"/>
      <c r="G29" s="18"/>
      <c r="H29" s="12"/>
      <c r="I29" s="12"/>
      <c r="J29" s="12"/>
      <c r="K29" s="12"/>
    </row>
    <row r="30" ht="20.05" customHeight="1">
      <c r="B30" s="28"/>
      <c r="C30" s="13"/>
      <c r="D30" s="14">
        <f>'Model'!E6</f>
        <v>4828.677168</v>
      </c>
      <c r="E30" s="14"/>
      <c r="F30" s="18"/>
      <c r="G30" s="18"/>
      <c r="H30" s="12"/>
      <c r="I30" s="12"/>
      <c r="J30" s="12"/>
      <c r="K30" s="12"/>
    </row>
    <row r="31" ht="20.05" customHeight="1">
      <c r="B31" s="28"/>
      <c r="C31" s="13"/>
      <c r="D31" s="14">
        <f>'Model'!F6</f>
        <v>4780.39039632</v>
      </c>
      <c r="E31" s="14"/>
      <c r="F31" s="18"/>
      <c r="G31" s="18"/>
      <c r="H31" s="12"/>
      <c r="I31" s="12"/>
      <c r="J31" s="12"/>
      <c r="K31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73438" style="30" customWidth="1"/>
    <col min="2" max="2" width="9.5625" style="30" customWidth="1"/>
    <col min="3" max="3" width="10.7422" style="30" customWidth="1"/>
    <col min="4" max="6" width="10.4219" style="30" customWidth="1"/>
    <col min="7" max="7" width="10.2188" style="30" customWidth="1"/>
    <col min="8" max="15" width="9.57031" style="30" customWidth="1"/>
    <col min="16" max="16384" width="16.3516" style="30" customWidth="1"/>
  </cols>
  <sheetData>
    <row r="1" ht="31.7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44</v>
      </c>
      <c r="C3" t="s" s="5">
        <v>49</v>
      </c>
      <c r="D3" t="s" s="5">
        <v>50</v>
      </c>
      <c r="E3" t="s" s="5">
        <v>10</v>
      </c>
      <c r="F3" t="s" s="5">
        <v>51</v>
      </c>
      <c r="G3" t="s" s="5">
        <v>52</v>
      </c>
      <c r="H3" t="s" s="5">
        <v>12</v>
      </c>
      <c r="I3" t="s" s="5">
        <v>27</v>
      </c>
      <c r="J3" t="s" s="5">
        <v>53</v>
      </c>
      <c r="K3" t="s" s="5">
        <v>54</v>
      </c>
      <c r="L3" t="s" s="5">
        <v>3</v>
      </c>
      <c r="M3" t="s" s="5">
        <v>36</v>
      </c>
      <c r="N3" t="s" s="5">
        <v>31</v>
      </c>
      <c r="O3" t="s" s="5">
        <v>36</v>
      </c>
    </row>
    <row r="4" ht="20.25" customHeight="1">
      <c r="B4" s="23">
        <v>2016</v>
      </c>
      <c r="C4" s="31">
        <v>2775</v>
      </c>
      <c r="D4" s="26">
        <v>-36</v>
      </c>
      <c r="E4" s="26"/>
      <c r="F4" s="26">
        <v>117</v>
      </c>
      <c r="G4" s="26">
        <v>-213</v>
      </c>
      <c r="H4" s="26"/>
      <c r="I4" s="26"/>
      <c r="J4" s="26">
        <v>-63</v>
      </c>
      <c r="K4" s="26">
        <f>SUM(D4:G4)</f>
        <v>-132</v>
      </c>
      <c r="L4" s="26"/>
      <c r="M4" s="26"/>
      <c r="N4" s="26">
        <f>-(J4-E4-D4)</f>
        <v>27</v>
      </c>
      <c r="O4" s="26"/>
    </row>
    <row r="5" ht="20.05" customHeight="1">
      <c r="B5" s="28"/>
      <c r="C5" s="17">
        <v>3257</v>
      </c>
      <c r="D5" s="18">
        <v>-27</v>
      </c>
      <c r="E5" s="18"/>
      <c r="F5" s="18">
        <v>354</v>
      </c>
      <c r="G5" s="18">
        <v>34</v>
      </c>
      <c r="H5" s="18"/>
      <c r="I5" s="18"/>
      <c r="J5" s="18">
        <v>-275</v>
      </c>
      <c r="K5" s="18">
        <f>SUM(D5:G5)</f>
        <v>361</v>
      </c>
      <c r="L5" s="18"/>
      <c r="M5" s="18"/>
      <c r="N5" s="18">
        <f>-(J5-D5-E5)+N4</f>
        <v>275</v>
      </c>
      <c r="O5" s="18"/>
    </row>
    <row r="6" ht="20.05" customHeight="1">
      <c r="B6" s="28"/>
      <c r="C6" s="17">
        <v>3088</v>
      </c>
      <c r="D6" s="18">
        <v>-19</v>
      </c>
      <c r="E6" s="18"/>
      <c r="F6" s="18">
        <v>364</v>
      </c>
      <c r="G6" s="18">
        <v>-244</v>
      </c>
      <c r="H6" s="18"/>
      <c r="I6" s="18"/>
      <c r="J6" s="18">
        <v>-76</v>
      </c>
      <c r="K6" s="18">
        <f>SUM(D6:G6)</f>
        <v>101</v>
      </c>
      <c r="L6" s="18"/>
      <c r="M6" s="18"/>
      <c r="N6" s="18">
        <f>-(J6-D6-E6)+N5</f>
        <v>332</v>
      </c>
      <c r="O6" s="18"/>
    </row>
    <row r="7" ht="20.05" customHeight="1">
      <c r="B7" s="28"/>
      <c r="C7" s="17">
        <v>3577</v>
      </c>
      <c r="D7" s="18">
        <v>-27</v>
      </c>
      <c r="E7" s="18"/>
      <c r="F7" s="18">
        <v>224</v>
      </c>
      <c r="G7" s="18">
        <v>-29</v>
      </c>
      <c r="H7" s="18"/>
      <c r="I7" s="18"/>
      <c r="J7" s="18">
        <v>-238</v>
      </c>
      <c r="K7" s="18">
        <f>SUM(D7:G7)</f>
        <v>168</v>
      </c>
      <c r="L7" s="18"/>
      <c r="M7" s="18"/>
      <c r="N7" s="18">
        <f>-(J7-D7-E7)+N6</f>
        <v>543</v>
      </c>
      <c r="O7" s="18"/>
    </row>
    <row r="8" ht="20.05" customHeight="1">
      <c r="B8" s="29">
        <v>2017</v>
      </c>
      <c r="C8" s="17">
        <v>3134.2</v>
      </c>
      <c r="D8" s="18">
        <v>-22.8</v>
      </c>
      <c r="E8" s="18"/>
      <c r="F8" s="18">
        <v>175.3</v>
      </c>
      <c r="G8" s="18">
        <v>-119</v>
      </c>
      <c r="H8" s="18"/>
      <c r="I8" s="18"/>
      <c r="J8" s="18">
        <v>-110.5</v>
      </c>
      <c r="K8" s="18">
        <f>SUM(D8:G8)</f>
        <v>33.5</v>
      </c>
      <c r="L8" s="18">
        <f>AVERAGE(K5:K8)</f>
        <v>165.875</v>
      </c>
      <c r="M8" s="18"/>
      <c r="N8" s="18">
        <f>-(J8-D8-E8)+N7</f>
        <v>630.7</v>
      </c>
      <c r="O8" s="18"/>
    </row>
    <row r="9" ht="20.05" customHeight="1">
      <c r="B9" s="28"/>
      <c r="C9" s="17">
        <v>3241.1</v>
      </c>
      <c r="D9" s="18">
        <v>-20.6</v>
      </c>
      <c r="E9" s="18"/>
      <c r="F9" s="18">
        <v>209.7</v>
      </c>
      <c r="G9" s="18">
        <v>-72.3</v>
      </c>
      <c r="H9" s="18"/>
      <c r="I9" s="18"/>
      <c r="J9" s="18">
        <v>-184.5</v>
      </c>
      <c r="K9" s="18">
        <f>SUM(D9:G9)</f>
        <v>116.8</v>
      </c>
      <c r="L9" s="18">
        <f>AVERAGE(K6:K9)</f>
        <v>104.825</v>
      </c>
      <c r="M9" s="18"/>
      <c r="N9" s="18">
        <f>-(J9-D9-E9)+N8</f>
        <v>794.6</v>
      </c>
      <c r="O9" s="18"/>
    </row>
    <row r="10" ht="20.05" customHeight="1">
      <c r="B10" s="28"/>
      <c r="C10" s="17">
        <v>3284.8</v>
      </c>
      <c r="D10" s="18">
        <v>-23.2</v>
      </c>
      <c r="E10" s="18"/>
      <c r="F10" s="18">
        <v>54.9</v>
      </c>
      <c r="G10" s="18">
        <v>40.6</v>
      </c>
      <c r="H10" s="18"/>
      <c r="I10" s="18"/>
      <c r="J10" s="18">
        <v>-215.4</v>
      </c>
      <c r="K10" s="18">
        <f>SUM(D10:G10)</f>
        <v>72.3</v>
      </c>
      <c r="L10" s="18">
        <f>AVERAGE(K7:K10)</f>
        <v>97.65000000000001</v>
      </c>
      <c r="M10" s="18"/>
      <c r="N10" s="18">
        <f>-(J10-D10-E10)+N9</f>
        <v>986.8</v>
      </c>
      <c r="O10" s="18"/>
    </row>
    <row r="11" ht="20.05" customHeight="1">
      <c r="B11" s="28"/>
      <c r="C11" s="17">
        <v>3733.9</v>
      </c>
      <c r="D11" s="18">
        <v>-12.4</v>
      </c>
      <c r="E11" s="18"/>
      <c r="F11" s="18">
        <v>-45.9</v>
      </c>
      <c r="G11" s="18">
        <v>122.7</v>
      </c>
      <c r="H11" s="18"/>
      <c r="I11" s="18"/>
      <c r="J11" s="18">
        <v>-79.59999999999999</v>
      </c>
      <c r="K11" s="18">
        <f>SUM(D11:G11)</f>
        <v>64.40000000000001</v>
      </c>
      <c r="L11" s="18">
        <f>AVERAGE(K8:K11)</f>
        <v>71.75</v>
      </c>
      <c r="M11" s="18"/>
      <c r="N11" s="18">
        <f>-(J11-D11-E11)+N10</f>
        <v>1054</v>
      </c>
      <c r="O11" s="18"/>
    </row>
    <row r="12" ht="20.05" customHeight="1">
      <c r="B12" s="29">
        <v>2018</v>
      </c>
      <c r="C12" s="17">
        <v>3596.3</v>
      </c>
      <c r="D12" s="18">
        <v>-13.9</v>
      </c>
      <c r="E12" s="18"/>
      <c r="F12" s="18">
        <v>356.9</v>
      </c>
      <c r="G12" s="18">
        <v>-138.7</v>
      </c>
      <c r="H12" s="18"/>
      <c r="I12" s="18"/>
      <c r="J12" s="18">
        <v>-167.1</v>
      </c>
      <c r="K12" s="18">
        <f>SUM(D12:G12)</f>
        <v>204.3</v>
      </c>
      <c r="L12" s="18">
        <f>AVERAGE(K9:K12)</f>
        <v>114.45</v>
      </c>
      <c r="M12" s="18"/>
      <c r="N12" s="18">
        <f>-(J12-D12-E12)+N11</f>
        <v>1207.2</v>
      </c>
      <c r="O12" s="18"/>
    </row>
    <row r="13" ht="20.05" customHeight="1">
      <c r="B13" s="28"/>
      <c r="C13" s="17">
        <v>3825.9</v>
      </c>
      <c r="D13" s="18">
        <v>-11.9</v>
      </c>
      <c r="E13" s="18"/>
      <c r="F13" s="18">
        <v>109.2</v>
      </c>
      <c r="G13" s="18">
        <v>15.8</v>
      </c>
      <c r="H13" s="18"/>
      <c r="I13" s="18"/>
      <c r="J13" s="18">
        <v>-139.4</v>
      </c>
      <c r="K13" s="18">
        <f>SUM(D13:G13)</f>
        <v>113.1</v>
      </c>
      <c r="L13" s="18">
        <f>AVERAGE(K10:K13)</f>
        <v>113.525</v>
      </c>
      <c r="M13" s="18"/>
      <c r="N13" s="18">
        <f>-(J13-D13-E13)+N12</f>
        <v>1334.7</v>
      </c>
      <c r="O13" s="18"/>
    </row>
    <row r="14" ht="20.05" customHeight="1">
      <c r="B14" s="28"/>
      <c r="C14" s="17">
        <v>3773.3</v>
      </c>
      <c r="D14" s="18">
        <v>-15.1</v>
      </c>
      <c r="E14" s="18"/>
      <c r="F14" s="18">
        <v>219.7</v>
      </c>
      <c r="G14" s="18">
        <v>12.6</v>
      </c>
      <c r="H14" s="18"/>
      <c r="I14" s="18"/>
      <c r="J14" s="18">
        <v>-6.2</v>
      </c>
      <c r="K14" s="18">
        <f>SUM(D14:G14)</f>
        <v>217.2</v>
      </c>
      <c r="L14" s="18">
        <f>AVERAGE(K11:K14)</f>
        <v>149.75</v>
      </c>
      <c r="M14" s="18"/>
      <c r="N14" s="18">
        <f>-(J14-D14-E14)+N13</f>
        <v>1325.8</v>
      </c>
      <c r="O14" s="18"/>
    </row>
    <row r="15" ht="20.05" customHeight="1">
      <c r="B15" s="28"/>
      <c r="C15" s="17">
        <v>4211.5</v>
      </c>
      <c r="D15" s="18">
        <v>-16.1</v>
      </c>
      <c r="E15" s="18"/>
      <c r="F15" s="18">
        <v>-7.8</v>
      </c>
      <c r="G15" s="18">
        <v>-102.7</v>
      </c>
      <c r="H15" s="18"/>
      <c r="I15" s="18"/>
      <c r="J15" s="18">
        <v>95.7</v>
      </c>
      <c r="K15" s="18">
        <f>SUM(D15:G15)</f>
        <v>-126.6</v>
      </c>
      <c r="L15" s="18">
        <f>AVERAGE(K12:K15)</f>
        <v>102</v>
      </c>
      <c r="M15" s="18"/>
      <c r="N15" s="18">
        <f>-(J15-D15-E15)+N14</f>
        <v>1214</v>
      </c>
      <c r="O15" s="18"/>
    </row>
    <row r="16" ht="20.05" customHeight="1">
      <c r="B16" s="29">
        <v>2019</v>
      </c>
      <c r="C16" s="17">
        <v>3663</v>
      </c>
      <c r="D16" s="18">
        <v>-22</v>
      </c>
      <c r="E16" s="18"/>
      <c r="F16" s="18">
        <v>220</v>
      </c>
      <c r="G16" s="18">
        <v>-540</v>
      </c>
      <c r="H16" s="18"/>
      <c r="I16" s="18"/>
      <c r="J16" s="18">
        <v>117</v>
      </c>
      <c r="K16" s="18">
        <f>SUM(D16:G16)</f>
        <v>-342</v>
      </c>
      <c r="L16" s="18">
        <f>AVERAGE(K13:K16)</f>
        <v>-34.575</v>
      </c>
      <c r="M16" s="18"/>
      <c r="N16" s="18">
        <f>-(J16-D16-E16)+N15</f>
        <v>1075</v>
      </c>
      <c r="O16" s="18"/>
    </row>
    <row r="17" ht="20.05" customHeight="1">
      <c r="B17" s="28"/>
      <c r="C17" s="17">
        <v>3973</v>
      </c>
      <c r="D17" s="18">
        <v>-24</v>
      </c>
      <c r="E17" s="18"/>
      <c r="F17" s="18">
        <v>345</v>
      </c>
      <c r="G17" s="18">
        <v>-133</v>
      </c>
      <c r="H17" s="18"/>
      <c r="I17" s="18"/>
      <c r="J17" s="18">
        <v>-193</v>
      </c>
      <c r="K17" s="18">
        <f>SUM(D17:G17)</f>
        <v>188</v>
      </c>
      <c r="L17" s="18">
        <f>AVERAGE(K14:K17)</f>
        <v>-15.85</v>
      </c>
      <c r="M17" s="18"/>
      <c r="N17" s="18">
        <f>-(J17-D17-E17)+N16</f>
        <v>1244</v>
      </c>
      <c r="O17" s="18"/>
    </row>
    <row r="18" ht="20.05" customHeight="1">
      <c r="B18" s="28"/>
      <c r="C18" s="17">
        <v>3617</v>
      </c>
      <c r="D18" s="18">
        <v>-21</v>
      </c>
      <c r="E18" s="18"/>
      <c r="F18" s="18">
        <v>457</v>
      </c>
      <c r="G18" s="18">
        <v>30</v>
      </c>
      <c r="H18" s="18"/>
      <c r="I18" s="18"/>
      <c r="J18" s="18">
        <v>-274</v>
      </c>
      <c r="K18" s="18">
        <f>SUM(D18:G18)</f>
        <v>466</v>
      </c>
      <c r="L18" s="18">
        <f>AVERAGE(K15:K18)</f>
        <v>46.35</v>
      </c>
      <c r="M18" s="18"/>
      <c r="N18" s="18">
        <f>-(J18-D18-E18)+N17</f>
        <v>1497</v>
      </c>
      <c r="O18" s="18"/>
    </row>
    <row r="19" ht="20.05" customHeight="1">
      <c r="B19" s="28"/>
      <c r="C19" s="17">
        <v>4173</v>
      </c>
      <c r="D19" s="18">
        <v>-20</v>
      </c>
      <c r="E19" s="18"/>
      <c r="F19" s="18">
        <v>50</v>
      </c>
      <c r="G19" s="18">
        <v>-30</v>
      </c>
      <c r="H19" s="18"/>
      <c r="I19" s="18"/>
      <c r="J19" s="18">
        <v>-163</v>
      </c>
      <c r="K19" s="18">
        <f>SUM(D19:G19)</f>
        <v>0</v>
      </c>
      <c r="L19" s="18">
        <f>AVERAGE(K16:K19)</f>
        <v>78</v>
      </c>
      <c r="M19" s="18"/>
      <c r="N19" s="18">
        <f>-(J19-D19-E19)+N18</f>
        <v>1640</v>
      </c>
      <c r="O19" s="18"/>
    </row>
    <row r="20" ht="20.05" customHeight="1">
      <c r="B20" s="29">
        <v>2020</v>
      </c>
      <c r="C20" s="17">
        <v>3678</v>
      </c>
      <c r="D20" s="18">
        <v>-14</v>
      </c>
      <c r="E20" s="18">
        <v>-9</v>
      </c>
      <c r="F20" s="18">
        <v>367</v>
      </c>
      <c r="G20" s="18">
        <v>-88</v>
      </c>
      <c r="H20" s="18"/>
      <c r="I20" s="18"/>
      <c r="J20" s="18">
        <v>84</v>
      </c>
      <c r="K20" s="18">
        <f>SUM(D20:G20)</f>
        <v>256</v>
      </c>
      <c r="L20" s="18">
        <f>AVERAGE(K17:K20)</f>
        <v>227.5</v>
      </c>
      <c r="M20" s="18"/>
      <c r="N20" s="18">
        <f>-(J20-D20-E20)+N19</f>
        <v>1533</v>
      </c>
      <c r="O20" s="18"/>
    </row>
    <row r="21" ht="20.05" customHeight="1">
      <c r="B21" s="28"/>
      <c r="C21" s="17">
        <v>2783</v>
      </c>
      <c r="D21" s="18">
        <v>-14</v>
      </c>
      <c r="E21" s="18">
        <v>-9</v>
      </c>
      <c r="F21" s="18">
        <v>-155</v>
      </c>
      <c r="G21" s="18">
        <v>-56</v>
      </c>
      <c r="H21" s="18"/>
      <c r="I21" s="18"/>
      <c r="J21" s="18">
        <v>266</v>
      </c>
      <c r="K21" s="18">
        <f>SUM(D21:G21)</f>
        <v>-234</v>
      </c>
      <c r="L21" s="18">
        <f>AVERAGE(K18:K21)</f>
        <v>122</v>
      </c>
      <c r="M21" s="18"/>
      <c r="N21" s="18">
        <f>-(J21-D21-E21)+N20</f>
        <v>1244</v>
      </c>
      <c r="O21" s="18"/>
    </row>
    <row r="22" ht="20.05" customHeight="1">
      <c r="B22" s="28"/>
      <c r="C22" s="17">
        <v>2416</v>
      </c>
      <c r="D22" s="18">
        <v>-20</v>
      </c>
      <c r="E22" s="18">
        <v>-9</v>
      </c>
      <c r="F22" s="18">
        <v>661</v>
      </c>
      <c r="G22" s="18">
        <v>45</v>
      </c>
      <c r="H22" s="18"/>
      <c r="I22" s="18"/>
      <c r="J22" s="18">
        <v>-330</v>
      </c>
      <c r="K22" s="18">
        <f>SUM(D22:G22)</f>
        <v>677</v>
      </c>
      <c r="L22" s="18">
        <f>AVERAGE(K19:K22)</f>
        <v>174.75</v>
      </c>
      <c r="M22" s="18"/>
      <c r="N22" s="18">
        <f>-(J22-D22-E22)+N21</f>
        <v>1545</v>
      </c>
      <c r="O22" s="18"/>
    </row>
    <row r="23" ht="20.05" customHeight="1">
      <c r="B23" s="28"/>
      <c r="C23" s="17">
        <v>3324</v>
      </c>
      <c r="D23" s="18">
        <v>-19</v>
      </c>
      <c r="E23" s="18">
        <v>-9</v>
      </c>
      <c r="F23" s="18">
        <v>275</v>
      </c>
      <c r="G23" s="18">
        <v>79</v>
      </c>
      <c r="H23" s="18"/>
      <c r="I23" s="18"/>
      <c r="J23" s="18">
        <v>-389</v>
      </c>
      <c r="K23" s="18">
        <f>SUM(D23:G23)</f>
        <v>326</v>
      </c>
      <c r="L23" s="18">
        <f>AVERAGE(K20:K23)</f>
        <v>256.25</v>
      </c>
      <c r="M23" s="18"/>
      <c r="N23" s="18">
        <f>-(J23-D23-E23)+N22</f>
        <v>1906</v>
      </c>
      <c r="O23" s="18"/>
    </row>
    <row r="24" ht="20.05" customHeight="1">
      <c r="B24" s="29">
        <v>2021</v>
      </c>
      <c r="C24" s="17">
        <v>3275</v>
      </c>
      <c r="D24" s="18">
        <v>-21.5</v>
      </c>
      <c r="E24" s="18">
        <v>-11</v>
      </c>
      <c r="F24" s="18">
        <v>517.9</v>
      </c>
      <c r="G24" s="18">
        <v>-45.3</v>
      </c>
      <c r="H24" s="18">
        <f>78.7-200</f>
        <v>-121.3</v>
      </c>
      <c r="I24" s="18"/>
      <c r="J24" s="18">
        <v>-199.6</v>
      </c>
      <c r="K24" s="18">
        <f>SUM(D24:G24)</f>
        <v>440.1</v>
      </c>
      <c r="L24" s="18">
        <f>AVERAGE(K21:K24)</f>
        <v>302.275</v>
      </c>
      <c r="M24" s="18"/>
      <c r="N24" s="18">
        <f>-(J24-D24-E24)+N23</f>
        <v>2073.1</v>
      </c>
      <c r="O24" s="18"/>
    </row>
    <row r="25" ht="20.05" customHeight="1">
      <c r="B25" s="28"/>
      <c r="C25" s="17">
        <v>3662</v>
      </c>
      <c r="D25" s="18">
        <v>-21.5</v>
      </c>
      <c r="E25" s="18">
        <v>-11</v>
      </c>
      <c r="F25" s="18">
        <v>37.1</v>
      </c>
      <c r="G25" s="18">
        <v>-30.7</v>
      </c>
      <c r="H25" s="18">
        <f>83.7-257-H24</f>
        <v>-52</v>
      </c>
      <c r="I25" s="18">
        <f>-8.3-74.7</f>
        <v>-83</v>
      </c>
      <c r="J25" s="18">
        <v>-100.4</v>
      </c>
      <c r="K25" s="18">
        <f>SUM(D25:G25)</f>
        <v>-26.1</v>
      </c>
      <c r="L25" s="18">
        <f>AVERAGE(K22:K25)</f>
        <v>354.25</v>
      </c>
      <c r="M25" s="18"/>
      <c r="N25" s="18">
        <f>-(J25-D25-E25)+N24</f>
        <v>2141</v>
      </c>
      <c r="O25" s="18"/>
    </row>
    <row r="26" ht="20.05" customHeight="1">
      <c r="B26" s="28"/>
      <c r="C26" s="17">
        <f>10555.4-SUM(C24:C25)</f>
        <v>3618.4</v>
      </c>
      <c r="D26" s="18">
        <f>-29.9-SUM(D24:D25)</f>
        <v>13.1</v>
      </c>
      <c r="E26" s="18">
        <f>-50.6-SUM(E24:E25)</f>
        <v>-28.6</v>
      </c>
      <c r="F26" s="18">
        <f>809.8-SUM(F24:F25)</f>
        <v>254.8</v>
      </c>
      <c r="G26" s="18">
        <f>-101-SUM(G24:G25)</f>
        <v>-25</v>
      </c>
      <c r="H26" s="18">
        <f>97.5-267-H25-H24</f>
        <v>3.8</v>
      </c>
      <c r="I26" s="18">
        <f>-8.3-76-I25</f>
        <v>-1.3</v>
      </c>
      <c r="J26" s="18">
        <f>-334.3-SUM(J24:J25)</f>
        <v>-34.3</v>
      </c>
      <c r="K26" s="18">
        <f>SUM(D26:G26)</f>
        <v>214.3</v>
      </c>
      <c r="L26" s="18">
        <f>AVERAGE(K23:K26)</f>
        <v>238.575</v>
      </c>
      <c r="M26" s="18"/>
      <c r="N26" s="18">
        <f>-(J26-D26-E26)+N25</f>
        <v>2159.8</v>
      </c>
      <c r="O26" s="18"/>
    </row>
    <row r="27" ht="20.05" customHeight="1">
      <c r="B27" s="28"/>
      <c r="C27" s="17">
        <f>14789.9-C26-C25-C24</f>
        <v>4234.5</v>
      </c>
      <c r="D27" s="18">
        <f>-38.5-D26-D25-D24</f>
        <v>-8.6</v>
      </c>
      <c r="E27" s="18">
        <f>-57.1-E26-E25-E24</f>
        <v>-6.5</v>
      </c>
      <c r="F27" s="18">
        <f>911.7-F26-F25-F24</f>
        <v>101.9</v>
      </c>
      <c r="G27" s="18">
        <f>-138.2-G26-G25-G24</f>
        <v>-37.2</v>
      </c>
      <c r="H27" s="18">
        <f>159.5-55-323-H26-H25-H24</f>
        <v>-49</v>
      </c>
      <c r="I27" s="18">
        <f>-8.3-127.7-I26-I25</f>
        <v>-51.7</v>
      </c>
      <c r="J27" s="18">
        <f>-450-J26-J25-J24</f>
        <v>-115.7</v>
      </c>
      <c r="K27" s="18">
        <f>SUM(D27:G27)</f>
        <v>49.6</v>
      </c>
      <c r="L27" s="18">
        <f>AVERAGE(K24:K27)</f>
        <v>169.475</v>
      </c>
      <c r="M27" s="18">
        <f>L27</f>
        <v>169.475</v>
      </c>
      <c r="N27" s="18">
        <f>-(J27-D27-E27)+N26</f>
        <v>2260.4</v>
      </c>
      <c r="O27" s="18">
        <f>N27</f>
        <v>2260.4</v>
      </c>
    </row>
    <row r="28" ht="20.05" customHeight="1">
      <c r="B28" s="29">
        <v>2022</v>
      </c>
      <c r="C28" s="17"/>
      <c r="D28" s="18"/>
      <c r="E28" s="18"/>
      <c r="F28" s="18"/>
      <c r="G28" s="18"/>
      <c r="H28" s="18"/>
      <c r="I28" s="18"/>
      <c r="J28" s="18"/>
      <c r="K28" s="18"/>
      <c r="L28" s="20"/>
      <c r="M28" s="18">
        <f>SUM('Model'!F9:F10)</f>
        <v>211.001891464210</v>
      </c>
      <c r="N28" s="20"/>
      <c r="O28" s="18">
        <f>'Model'!F34</f>
        <v>3038.820241482470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2" customWidth="1"/>
    <col min="2" max="2" width="7.53906" style="32" customWidth="1"/>
    <col min="3" max="11" width="9.98438" style="32" customWidth="1"/>
    <col min="12" max="16384" width="16.3516" style="32" customWidth="1"/>
  </cols>
  <sheetData>
    <row r="1" ht="35.7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55</v>
      </c>
      <c r="D3" t="s" s="5">
        <v>56</v>
      </c>
      <c r="E3" t="s" s="5">
        <v>57</v>
      </c>
      <c r="F3" t="s" s="5">
        <v>25</v>
      </c>
      <c r="G3" t="s" s="5">
        <v>12</v>
      </c>
      <c r="H3" t="s" s="5">
        <v>27</v>
      </c>
      <c r="I3" t="s" s="5">
        <v>28</v>
      </c>
      <c r="J3" t="s" s="5">
        <v>58</v>
      </c>
      <c r="K3" t="s" s="5">
        <v>36</v>
      </c>
    </row>
    <row r="4" ht="20.25" customHeight="1">
      <c r="B4" s="23">
        <v>2016</v>
      </c>
      <c r="C4" s="31">
        <v>790</v>
      </c>
      <c r="D4" s="26">
        <v>14479</v>
      </c>
      <c r="E4" s="26">
        <f>D4-C4</f>
        <v>13689</v>
      </c>
      <c r="F4" s="26"/>
      <c r="G4" s="26">
        <v>4221</v>
      </c>
      <c r="H4" s="26">
        <v>10258</v>
      </c>
      <c r="I4" s="26">
        <f>G4+H4-C4-E4</f>
        <v>0</v>
      </c>
      <c r="J4" s="26">
        <f>C4-G4</f>
        <v>-3431</v>
      </c>
      <c r="K4" s="33"/>
    </row>
    <row r="5" ht="20.05" customHeight="1">
      <c r="B5" s="28"/>
      <c r="C5" s="17">
        <v>906</v>
      </c>
      <c r="D5" s="18">
        <v>14557</v>
      </c>
      <c r="E5" s="18">
        <f>D5-C5</f>
        <v>13651</v>
      </c>
      <c r="F5" s="18"/>
      <c r="G5" s="18">
        <v>4291</v>
      </c>
      <c r="H5" s="18">
        <v>10266</v>
      </c>
      <c r="I5" s="18">
        <f>G5+H5-C5-E5</f>
        <v>0</v>
      </c>
      <c r="J5" s="18">
        <f>C5-G5</f>
        <v>-3385</v>
      </c>
      <c r="K5" s="34"/>
    </row>
    <row r="6" ht="20.05" customHeight="1">
      <c r="B6" s="28"/>
      <c r="C6" s="17">
        <v>954</v>
      </c>
      <c r="D6" s="18">
        <v>14738</v>
      </c>
      <c r="E6" s="18">
        <f>D6-C6</f>
        <v>13784</v>
      </c>
      <c r="F6" s="18"/>
      <c r="G6" s="18">
        <v>4453</v>
      </c>
      <c r="H6" s="18">
        <v>10286</v>
      </c>
      <c r="I6" s="18">
        <f>G6+H6-C6-E6</f>
        <v>1</v>
      </c>
      <c r="J6" s="18">
        <f>C6-G6</f>
        <v>-3499</v>
      </c>
      <c r="K6" s="34"/>
    </row>
    <row r="7" ht="20.05" customHeight="1">
      <c r="B7" s="28"/>
      <c r="C7" s="17">
        <v>915</v>
      </c>
      <c r="D7" s="18">
        <v>14612</v>
      </c>
      <c r="E7" s="18">
        <f>D7-C7</f>
        <v>13697</v>
      </c>
      <c r="F7" s="18"/>
      <c r="G7" s="18">
        <v>4076</v>
      </c>
      <c r="H7" s="18">
        <v>10537</v>
      </c>
      <c r="I7" s="18">
        <f>G7+H7-C7-E7</f>
        <v>1</v>
      </c>
      <c r="J7" s="18">
        <f>C7-G7</f>
        <v>-3161</v>
      </c>
      <c r="K7" s="34"/>
    </row>
    <row r="8" ht="20.05" customHeight="1">
      <c r="B8" s="29">
        <v>2017</v>
      </c>
      <c r="C8" s="17">
        <v>854</v>
      </c>
      <c r="D8" s="18">
        <v>14908</v>
      </c>
      <c r="E8" s="18">
        <f>D8-C8</f>
        <v>14054</v>
      </c>
      <c r="F8" s="18"/>
      <c r="G8" s="18">
        <v>4236</v>
      </c>
      <c r="H8" s="18">
        <v>10673</v>
      </c>
      <c r="I8" s="18">
        <f>G8+H8-C8-E8</f>
        <v>1</v>
      </c>
      <c r="J8" s="18">
        <f>C8-G8</f>
        <v>-3382</v>
      </c>
      <c r="K8" s="34"/>
    </row>
    <row r="9" ht="20.05" customHeight="1">
      <c r="B9" s="28"/>
      <c r="C9" s="17">
        <v>807</v>
      </c>
      <c r="D9" s="18">
        <v>14847</v>
      </c>
      <c r="E9" s="18">
        <f>D9-C9</f>
        <v>14040</v>
      </c>
      <c r="F9" s="18"/>
      <c r="G9" s="18">
        <v>4283</v>
      </c>
      <c r="H9" s="18">
        <v>10564</v>
      </c>
      <c r="I9" s="18">
        <f>G9+H9-C9-E9</f>
        <v>0</v>
      </c>
      <c r="J9" s="18">
        <f>C9-G9</f>
        <v>-3476</v>
      </c>
      <c r="K9" s="34"/>
    </row>
    <row r="10" ht="20.05" customHeight="1">
      <c r="B10" s="28"/>
      <c r="C10" s="17">
        <v>689</v>
      </c>
      <c r="D10" s="18">
        <v>14952</v>
      </c>
      <c r="E10" s="18">
        <f>D10-C10</f>
        <v>14263</v>
      </c>
      <c r="F10" s="18"/>
      <c r="G10" s="18">
        <v>4211</v>
      </c>
      <c r="H10" s="18">
        <v>10740</v>
      </c>
      <c r="I10" s="18">
        <f>G10+H10-C10-E10</f>
        <v>-1</v>
      </c>
      <c r="J10" s="18">
        <f>C10-G10</f>
        <v>-3522</v>
      </c>
      <c r="K10" s="34"/>
    </row>
    <row r="11" ht="20.05" customHeight="1">
      <c r="B11" s="28"/>
      <c r="C11" s="17">
        <v>680</v>
      </c>
      <c r="D11" s="18">
        <v>14762</v>
      </c>
      <c r="E11" s="18">
        <f>D11-C11</f>
        <v>14082</v>
      </c>
      <c r="F11" s="18">
        <v>2824</v>
      </c>
      <c r="G11" s="18">
        <v>4003</v>
      </c>
      <c r="H11" s="18">
        <v>10759</v>
      </c>
      <c r="I11" s="18">
        <f>G11+H11-C11-E11</f>
        <v>0</v>
      </c>
      <c r="J11" s="18">
        <f>C11-G11</f>
        <v>-3323</v>
      </c>
      <c r="K11" s="34"/>
    </row>
    <row r="12" ht="20.05" customHeight="1">
      <c r="B12" s="29">
        <v>2018</v>
      </c>
      <c r="C12" s="17">
        <v>731</v>
      </c>
      <c r="D12" s="18">
        <v>15289</v>
      </c>
      <c r="E12" s="18">
        <f>D12-C12</f>
        <v>14558</v>
      </c>
      <c r="F12" s="18"/>
      <c r="G12" s="18">
        <v>4372</v>
      </c>
      <c r="H12" s="18">
        <v>10917</v>
      </c>
      <c r="I12" s="18">
        <f>G12+H12-C12-E12</f>
        <v>0</v>
      </c>
      <c r="J12" s="18">
        <f>C12-G12</f>
        <v>-3641</v>
      </c>
      <c r="K12" s="34"/>
    </row>
    <row r="13" ht="20.05" customHeight="1">
      <c r="B13" s="28"/>
      <c r="C13" s="17">
        <v>714</v>
      </c>
      <c r="D13" s="18">
        <v>15134</v>
      </c>
      <c r="E13" s="18">
        <f>D13-C13</f>
        <v>14420</v>
      </c>
      <c r="F13" s="18"/>
      <c r="G13" s="18">
        <v>4331</v>
      </c>
      <c r="H13" s="18">
        <v>10803</v>
      </c>
      <c r="I13" s="18">
        <f>G13+H13-C13-E13</f>
        <v>0</v>
      </c>
      <c r="J13" s="18">
        <f>C13-G13</f>
        <v>-3617</v>
      </c>
      <c r="K13" s="34"/>
    </row>
    <row r="14" ht="20.05" customHeight="1">
      <c r="B14" s="28"/>
      <c r="C14" s="17">
        <v>933</v>
      </c>
      <c r="D14" s="18">
        <v>15891</v>
      </c>
      <c r="E14" s="18">
        <f>D14-C14</f>
        <v>14958</v>
      </c>
      <c r="F14" s="18"/>
      <c r="G14" s="18">
        <v>4928</v>
      </c>
      <c r="H14" s="18">
        <v>10963</v>
      </c>
      <c r="I14" s="18">
        <f>G14+H14-C14-E14</f>
        <v>0</v>
      </c>
      <c r="J14" s="18">
        <f>C14-G14</f>
        <v>-3995</v>
      </c>
      <c r="K14" s="34"/>
    </row>
    <row r="15" ht="20.05" customHeight="1">
      <c r="B15" s="28"/>
      <c r="C15" s="17">
        <v>890</v>
      </c>
      <c r="D15" s="18">
        <v>15890</v>
      </c>
      <c r="E15" s="18">
        <f>D15-C15</f>
        <v>15000</v>
      </c>
      <c r="F15" s="18">
        <v>3176</v>
      </c>
      <c r="G15" s="18">
        <v>4626</v>
      </c>
      <c r="H15" s="18">
        <v>11264</v>
      </c>
      <c r="I15" s="18">
        <f>G15+H15-C15-E15</f>
        <v>0</v>
      </c>
      <c r="J15" s="18">
        <f>C15-G15</f>
        <v>-3736</v>
      </c>
      <c r="K15" s="34"/>
    </row>
    <row r="16" ht="20.05" customHeight="1">
      <c r="B16" s="29">
        <v>2019</v>
      </c>
      <c r="C16" s="17">
        <v>721</v>
      </c>
      <c r="D16" s="18">
        <v>16227</v>
      </c>
      <c r="E16" s="18">
        <f>D16-C16</f>
        <v>15506</v>
      </c>
      <c r="F16" s="18"/>
      <c r="G16" s="18">
        <v>4818</v>
      </c>
      <c r="H16" s="18">
        <v>11408</v>
      </c>
      <c r="I16" s="18">
        <f>G16+H16-C16-E16</f>
        <v>-1</v>
      </c>
      <c r="J16" s="18">
        <f>C16-G16</f>
        <v>-4097</v>
      </c>
      <c r="K16" s="34"/>
    </row>
    <row r="17" ht="20.05" customHeight="1">
      <c r="B17" s="28"/>
      <c r="C17" s="17">
        <v>750</v>
      </c>
      <c r="D17" s="18">
        <v>15947</v>
      </c>
      <c r="E17" s="18">
        <f>D17-C17</f>
        <v>15197</v>
      </c>
      <c r="F17" s="18"/>
      <c r="G17" s="18">
        <v>4666</v>
      </c>
      <c r="H17" s="18">
        <v>11282</v>
      </c>
      <c r="I17" s="18">
        <f>G17+H17-C17-E17</f>
        <v>1</v>
      </c>
      <c r="J17" s="18">
        <f>C17-G17</f>
        <v>-3916</v>
      </c>
      <c r="K17" s="34"/>
    </row>
    <row r="18" ht="20.05" customHeight="1">
      <c r="B18" s="28"/>
      <c r="C18" s="17">
        <v>941</v>
      </c>
      <c r="D18" s="18">
        <v>16433</v>
      </c>
      <c r="E18" s="18">
        <f>D18-C18</f>
        <v>15492</v>
      </c>
      <c r="F18" s="18"/>
      <c r="G18" s="18">
        <v>4945</v>
      </c>
      <c r="H18" s="18">
        <v>11487</v>
      </c>
      <c r="I18" s="18">
        <f>G18+H18-C18-E18</f>
        <v>-1</v>
      </c>
      <c r="J18" s="18">
        <f>C18-G18</f>
        <v>-4004</v>
      </c>
      <c r="K18" s="34"/>
    </row>
    <row r="19" ht="20.05" customHeight="1">
      <c r="B19" s="28"/>
      <c r="C19" s="17">
        <v>788</v>
      </c>
      <c r="D19" s="18">
        <v>16016</v>
      </c>
      <c r="E19" s="18">
        <f>D19-C19</f>
        <v>15228</v>
      </c>
      <c r="F19" s="18">
        <v>3503</v>
      </c>
      <c r="G19" s="18">
        <v>4365</v>
      </c>
      <c r="H19" s="18">
        <v>11651</v>
      </c>
      <c r="I19" s="18">
        <f>G19+H19-C19-E19</f>
        <v>0</v>
      </c>
      <c r="J19" s="18">
        <f>C19-G19</f>
        <v>-3577</v>
      </c>
      <c r="K19" s="34"/>
    </row>
    <row r="20" ht="20.05" customHeight="1">
      <c r="B20" s="29">
        <v>2020</v>
      </c>
      <c r="C20" s="17">
        <v>1222</v>
      </c>
      <c r="D20" s="18">
        <v>16788</v>
      </c>
      <c r="E20" s="18">
        <f>D20-C20</f>
        <v>15566</v>
      </c>
      <c r="F20" s="18"/>
      <c r="G20" s="18">
        <v>5007</v>
      </c>
      <c r="H20" s="18">
        <v>11780</v>
      </c>
      <c r="I20" s="18">
        <f>G20+H20-C20-E20</f>
        <v>-1</v>
      </c>
      <c r="J20" s="18">
        <f>C20-G20</f>
        <v>-3785</v>
      </c>
      <c r="K20" s="34"/>
    </row>
    <row r="21" ht="20.05" customHeight="1">
      <c r="B21" s="28"/>
      <c r="C21" s="17">
        <v>1179</v>
      </c>
      <c r="D21" s="18">
        <v>15252</v>
      </c>
      <c r="E21" s="18">
        <f>D21-C21</f>
        <v>14073</v>
      </c>
      <c r="F21" s="18"/>
      <c r="G21" s="18">
        <v>4166</v>
      </c>
      <c r="H21" s="18">
        <v>11086</v>
      </c>
      <c r="I21" s="18">
        <f>G21+H21-C21-E21</f>
        <v>0</v>
      </c>
      <c r="J21" s="18">
        <f>C21-G21</f>
        <v>-2987</v>
      </c>
      <c r="K21" s="34"/>
    </row>
    <row r="22" ht="20.05" customHeight="1">
      <c r="B22" s="28"/>
      <c r="C22" s="17">
        <v>1573</v>
      </c>
      <c r="D22" s="18">
        <v>15587</v>
      </c>
      <c r="E22" s="18">
        <f>D22-C22</f>
        <v>14014</v>
      </c>
      <c r="F22" s="18"/>
      <c r="G22" s="18">
        <v>4442</v>
      </c>
      <c r="H22" s="18">
        <v>11145</v>
      </c>
      <c r="I22" s="18">
        <f>G22+H22-C22-E22</f>
        <v>0</v>
      </c>
      <c r="J22" s="18">
        <f>C22-G22</f>
        <v>-2869</v>
      </c>
      <c r="K22" s="34"/>
    </row>
    <row r="23" ht="20.05" customHeight="1">
      <c r="B23" s="28"/>
      <c r="C23" s="17">
        <v>1503</v>
      </c>
      <c r="D23" s="18">
        <v>15180</v>
      </c>
      <c r="E23" s="18">
        <f>D23-C23</f>
        <v>13677</v>
      </c>
      <c r="F23" s="18">
        <v>3927</v>
      </c>
      <c r="G23" s="18">
        <v>3909</v>
      </c>
      <c r="H23" s="18">
        <v>11271</v>
      </c>
      <c r="I23" s="18">
        <f>G23+H23-C23-E23</f>
        <v>0</v>
      </c>
      <c r="J23" s="18">
        <f>C23-G23</f>
        <v>-2406</v>
      </c>
      <c r="K23" s="18"/>
    </row>
    <row r="24" ht="20.05" customHeight="1">
      <c r="B24" s="29">
        <v>2021</v>
      </c>
      <c r="C24" s="17">
        <v>1795.4</v>
      </c>
      <c r="D24" s="18">
        <v>16010</v>
      </c>
      <c r="E24" s="18">
        <f>D24-C24</f>
        <v>14214.6</v>
      </c>
      <c r="F24" s="18">
        <f>4036</f>
        <v>4036</v>
      </c>
      <c r="G24" s="18">
        <v>4557.7</v>
      </c>
      <c r="H24" s="18">
        <v>11452.7</v>
      </c>
      <c r="I24" s="18">
        <f>G24+H24-C24-E24</f>
        <v>0.4</v>
      </c>
      <c r="J24" s="18">
        <f>C24-G24</f>
        <v>-2762.3</v>
      </c>
      <c r="K24" s="18"/>
    </row>
    <row r="25" ht="20.05" customHeight="1">
      <c r="B25" s="28"/>
      <c r="C25" s="17">
        <v>1702</v>
      </c>
      <c r="D25" s="18">
        <v>16083</v>
      </c>
      <c r="E25" s="18">
        <f>D25-C25</f>
        <v>14381</v>
      </c>
      <c r="F25" s="18">
        <v>4149</v>
      </c>
      <c r="G25" s="18">
        <v>4608</v>
      </c>
      <c r="H25" s="18">
        <v>11475</v>
      </c>
      <c r="I25" s="18">
        <f>G25+H25-C25-E25</f>
        <v>0</v>
      </c>
      <c r="J25" s="18">
        <f>C25-G25</f>
        <v>-2906</v>
      </c>
      <c r="K25" s="18"/>
    </row>
    <row r="26" ht="20.05" customHeight="1">
      <c r="B26" s="28"/>
      <c r="C26" s="17">
        <v>1888</v>
      </c>
      <c r="D26" s="18">
        <v>16652</v>
      </c>
      <c r="E26" s="18">
        <f>D26-C26</f>
        <v>14764</v>
      </c>
      <c r="F26" s="18">
        <v>4265</v>
      </c>
      <c r="G26" s="18">
        <v>5047</v>
      </c>
      <c r="H26" s="18">
        <v>11605</v>
      </c>
      <c r="I26" s="18">
        <f>G26+H26-C26-E26</f>
        <v>0</v>
      </c>
      <c r="J26" s="18">
        <f>C26-G26</f>
        <v>-3159</v>
      </c>
      <c r="K26" s="18">
        <f>J26</f>
        <v>-3159</v>
      </c>
    </row>
    <row r="27" ht="20.05" customHeight="1">
      <c r="B27" s="28"/>
      <c r="C27" s="17">
        <v>1837</v>
      </c>
      <c r="D27" s="18">
        <v>16947</v>
      </c>
      <c r="E27" s="18">
        <f>D27-C27</f>
        <v>15110</v>
      </c>
      <c r="F27" s="18">
        <v>4367</v>
      </c>
      <c r="G27" s="18">
        <v>5101</v>
      </c>
      <c r="H27" s="18">
        <v>11846</v>
      </c>
      <c r="I27" s="18">
        <f>G27+H27-C27-E27</f>
        <v>0</v>
      </c>
      <c r="J27" s="18">
        <f>C27-G27</f>
        <v>-3264</v>
      </c>
      <c r="K27" s="18">
        <f>J27</f>
        <v>-3264</v>
      </c>
    </row>
    <row r="28" ht="20.05" customHeight="1">
      <c r="B28" s="29">
        <v>2022</v>
      </c>
      <c r="C28" s="17"/>
      <c r="D28" s="18"/>
      <c r="E28" s="18"/>
      <c r="F28" s="18"/>
      <c r="G28" s="18"/>
      <c r="H28" s="18"/>
      <c r="I28" s="18"/>
      <c r="J28" s="18"/>
      <c r="K28" s="18">
        <f>'Model'!F32</f>
        <v>-2784.305830962270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8125" style="35" customWidth="1"/>
    <col min="2" max="2" width="8.6875" style="35" customWidth="1"/>
    <col min="3" max="5" width="11.0547" style="35" customWidth="1"/>
    <col min="6" max="16384" width="16.3516" style="35" customWidth="1"/>
  </cols>
  <sheetData>
    <row r="1" ht="25.35" customHeight="1"/>
    <row r="2" ht="27.65" customHeight="1">
      <c r="B2" t="s" s="2">
        <v>59</v>
      </c>
      <c r="C2" s="2"/>
      <c r="D2" s="2"/>
      <c r="E2" s="2"/>
    </row>
    <row r="3" ht="20.25" customHeight="1">
      <c r="B3" s="4"/>
      <c r="C3" t="s" s="36">
        <v>60</v>
      </c>
      <c r="D3" t="s" s="36">
        <v>61</v>
      </c>
      <c r="E3" t="s" s="36">
        <v>62</v>
      </c>
    </row>
    <row r="4" ht="20.25" customHeight="1">
      <c r="B4" s="23">
        <v>2018</v>
      </c>
      <c r="C4" s="37">
        <v>1585</v>
      </c>
      <c r="D4" s="26"/>
      <c r="E4" s="26"/>
    </row>
    <row r="5" ht="20.05" customHeight="1">
      <c r="B5" s="28"/>
      <c r="C5" s="38">
        <v>1450</v>
      </c>
      <c r="D5" s="18"/>
      <c r="E5" s="18"/>
    </row>
    <row r="6" ht="20.05" customHeight="1">
      <c r="B6" s="28"/>
      <c r="C6" s="38">
        <v>1430</v>
      </c>
      <c r="D6" s="18"/>
      <c r="E6" s="18"/>
    </row>
    <row r="7" ht="20.05" customHeight="1">
      <c r="B7" s="28"/>
      <c r="C7" s="38">
        <v>1470</v>
      </c>
      <c r="D7" s="18"/>
      <c r="E7" s="18"/>
    </row>
    <row r="8" ht="20.05" customHeight="1">
      <c r="B8" s="29">
        <v>2019</v>
      </c>
      <c r="C8" s="38">
        <v>1555</v>
      </c>
      <c r="D8" s="18"/>
      <c r="E8" s="18"/>
    </row>
    <row r="9" ht="20.05" customHeight="1">
      <c r="B9" s="28"/>
      <c r="C9" s="38">
        <v>1440</v>
      </c>
      <c r="D9" s="18"/>
      <c r="E9" s="18"/>
    </row>
    <row r="10" ht="20.05" customHeight="1">
      <c r="B10" s="28"/>
      <c r="C10" s="38">
        <v>1250</v>
      </c>
      <c r="D10" s="18"/>
      <c r="E10" s="18"/>
    </row>
    <row r="11" ht="20.05" customHeight="1">
      <c r="B11" s="28"/>
      <c r="C11" s="38">
        <v>1240</v>
      </c>
      <c r="D11" s="20"/>
      <c r="E11" s="20"/>
    </row>
    <row r="12" ht="20.05" customHeight="1">
      <c r="B12" s="29">
        <v>2020</v>
      </c>
      <c r="C12" s="39">
        <v>785</v>
      </c>
      <c r="D12" s="20"/>
      <c r="E12" s="20"/>
    </row>
    <row r="13" ht="20.05" customHeight="1">
      <c r="B13" s="28"/>
      <c r="C13" s="39">
        <v>885</v>
      </c>
      <c r="D13" s="20"/>
      <c r="E13" s="20"/>
    </row>
    <row r="14" ht="20.05" customHeight="1">
      <c r="B14" s="28"/>
      <c r="C14" s="39">
        <v>825</v>
      </c>
      <c r="D14" s="20"/>
      <c r="E14" s="20"/>
    </row>
    <row r="15" ht="20.05" customHeight="1">
      <c r="B15" s="28"/>
      <c r="C15" s="38">
        <v>1115</v>
      </c>
      <c r="D15" s="20"/>
      <c r="E15" s="20"/>
    </row>
    <row r="16" ht="20.05" customHeight="1">
      <c r="B16" s="29">
        <v>2021</v>
      </c>
      <c r="C16" s="17">
        <v>1144.365234</v>
      </c>
      <c r="D16" s="20"/>
      <c r="E16" s="20"/>
    </row>
    <row r="17" ht="20.05" customHeight="1">
      <c r="B17" s="28"/>
      <c r="C17" s="17">
        <v>1085</v>
      </c>
      <c r="D17" s="20"/>
      <c r="E17" s="20"/>
    </row>
    <row r="18" ht="20.05" customHeight="1">
      <c r="B18" s="28"/>
      <c r="C18" s="17">
        <v>1020</v>
      </c>
      <c r="D18" s="20"/>
      <c r="E18" s="20"/>
    </row>
    <row r="19" ht="20.05" customHeight="1">
      <c r="B19" s="28"/>
      <c r="C19" s="17">
        <v>1155</v>
      </c>
      <c r="D19" s="20"/>
      <c r="E19" s="20"/>
    </row>
    <row r="20" ht="20.05" customHeight="1">
      <c r="B20" s="29">
        <v>2022</v>
      </c>
      <c r="C20" s="17">
        <v>1085</v>
      </c>
      <c r="D20" s="18">
        <f>C20</f>
        <v>1085</v>
      </c>
      <c r="E20" s="18">
        <v>2336.886487526990</v>
      </c>
    </row>
    <row r="21" ht="20.05" customHeight="1">
      <c r="B21" s="28"/>
      <c r="C21" s="17"/>
      <c r="D21" s="18">
        <f>'Model'!F44</f>
        <v>1669.1450793813</v>
      </c>
      <c r="E21" s="20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