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  <sheet name="Capital " sheetId="6" r:id="rId9"/>
  </sheets>
</workbook>
</file>

<file path=xl/sharedStrings.xml><?xml version="1.0" encoding="utf-8"?>
<sst xmlns="http://schemas.openxmlformats.org/spreadsheetml/2006/main" uniqueCount="61">
  <si>
    <t>Financial model</t>
  </si>
  <si>
    <t>Rptn</t>
  </si>
  <si>
    <t>4Q 2022</t>
  </si>
  <si>
    <t>Cashflow</t>
  </si>
  <si>
    <t>Growth</t>
  </si>
  <si>
    <t>Sales</t>
  </si>
  <si>
    <t>Cost ratio</t>
  </si>
  <si>
    <t xml:space="preserve">Cash costs </t>
  </si>
  <si>
    <t>Operating</t>
  </si>
  <si>
    <t>Investment</t>
  </si>
  <si>
    <t xml:space="preserve">Finance </t>
  </si>
  <si>
    <t xml:space="preserve">Liabilities </t>
  </si>
  <si>
    <t xml:space="preserve">Revolver </t>
  </si>
  <si>
    <t xml:space="preserve">Payout </t>
  </si>
  <si>
    <t>Equity</t>
  </si>
  <si>
    <t xml:space="preserve">Before revolver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</si>
  <si>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</si>
  <si>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</si>
  <si>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</si>
  <si>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</si>
  <si>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</si>
  <si>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</si>
  <si>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</si>
  <si>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</si>
  <si>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</si>
  <si>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</si>
  <si>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</si>
  <si>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</si>
  <si>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>Net cash</t>
  </si>
  <si>
    <t xml:space="preserve">Valuation </t>
  </si>
  <si>
    <t xml:space="preserve">Capital </t>
  </si>
  <si>
    <t>Current value</t>
  </si>
  <si>
    <t>P/assets</t>
  </si>
  <si>
    <t>Yield</t>
  </si>
  <si>
    <t xml:space="preserve">Payback </t>
  </si>
  <si>
    <t xml:space="preserve">Forecast </t>
  </si>
  <si>
    <t>Value</t>
  </si>
  <si>
    <t>Shares</t>
  </si>
  <si>
    <t xml:space="preserve">Target </t>
  </si>
  <si>
    <t xml:space="preserve">Current </t>
  </si>
  <si>
    <t>V target</t>
  </si>
  <si>
    <t xml:space="preserve">12 month growth </t>
  </si>
  <si>
    <t xml:space="preserve">Sales forecast </t>
  </si>
  <si>
    <t xml:space="preserve">Sales growth </t>
  </si>
  <si>
    <t xml:space="preserve">Cost ratio </t>
  </si>
  <si>
    <t>Receipts</t>
  </si>
  <si>
    <t xml:space="preserve">Operating </t>
  </si>
  <si>
    <t xml:space="preserve">Investment </t>
  </si>
  <si>
    <t xml:space="preserve">Interest </t>
  </si>
  <si>
    <t>Finance</t>
  </si>
  <si>
    <t xml:space="preserve">Free cashflow </t>
  </si>
  <si>
    <t>Capital</t>
  </si>
  <si>
    <t>Cash</t>
  </si>
  <si>
    <t>Assets</t>
  </si>
  <si>
    <t xml:space="preserve">Other assets </t>
  </si>
  <si>
    <t xml:space="preserve">Net cash </t>
  </si>
  <si>
    <t>Share price</t>
  </si>
  <si>
    <t>ASII</t>
  </si>
  <si>
    <t>Target</t>
  </si>
  <si>
    <t xml:space="preserve">Previous </t>
  </si>
  <si>
    <t>Total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</si>
</sst>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#,##0.0"/>
  </numFmts>
  <fonts count="8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2"/>
      <color indexed="14"/>
      <name val="Helvetica Neue"/>
    </font>
    <font>
      <b val="1"/>
      <sz val="20"/>
      <color indexed="8"/>
      <name val="Helvetica Neue"/>
    </font>
    <font>
      <b val="1"/>
      <sz val="20"/>
      <color indexed="16"/>
      <name val="Helvetica Neue"/>
    </font>
    <font>
      <shadow val="1"/>
      <sz val="12"/>
      <color indexed="14"/>
      <name val="Helvetica"/>
    </font>
    <font>
      <sz val="12"/>
      <color indexed="8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feffff"/>
      <rgbColor rgb="ffb8b8b8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09446"/>
          <c:y val="0.0426778"/>
          <c:w val="0.868159"/>
          <c:h val="0.886395"/>
        </c:manualLayout>
      </c:layout>
      <c:scatterChart>
        <c:scatterStyle val="lineMarker"/>
        <c:varyColors val="0"/>
        <c:ser>
          <c:idx val="0"/>
          <c:order val="0"/>
          <c:tx>
            <c:v>May</c:v>
          </c:tx>
          <c:spPr>
            <a:solidFill>
              <a:srgbClr val="FFFFFF"/>
            </a:solidFill>
            <a:ln w="12700" cap="flat">
              <a:noFill/>
              <a:prstDash val="solid"/>
              <a:miter lim="400000"/>
            </a:ln>
            <a:effectLst/>
          </c:spPr>
          <c:marker>
            <c:symbol val="circle"/>
            <c:size val="8"/>
            <c:spPr>
              <a:solidFill>
                <a:srgbClr val="FFFFFF"/>
              </a:solidFill>
              <a:ln w="254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Lit>
              <c:ptCount val="8"/>
              <c:pt idx="0">
                <c:v>1.000000</c:v>
              </c:pt>
              <c:pt idx="1">
                <c:v>3.000000</c:v>
              </c:pt>
              <c:pt idx="2">
                <c:v>5.000000</c:v>
              </c:pt>
              <c:pt idx="3">
                <c:v>6.000000</c:v>
              </c:pt>
              <c:pt idx="4">
                <c:v>8.000000</c:v>
              </c:pt>
              <c:pt idx="5">
                <c:v>9.000000</c:v>
              </c:pt>
              <c:pt idx="6">
                <c:v>11.000000</c:v>
              </c:pt>
              <c:pt idx="7">
                <c:v>12.000000</c:v>
              </c:pt>
            </c:numLit>
          </c:xVal>
          <c:yVal>
            <c:numLit>
              <c:ptCount val="8"/>
              <c:pt idx="0">
                <c:v>2.000000</c:v>
              </c:pt>
              <c:pt idx="1">
                <c:v>4.000000</c:v>
              </c:pt>
              <c:pt idx="2">
                <c:v>5.000000</c:v>
              </c:pt>
              <c:pt idx="3">
                <c:v>8.000000</c:v>
              </c:pt>
              <c:pt idx="4">
                <c:v>13.000000</c:v>
              </c:pt>
              <c:pt idx="5">
                <c:v>16.000000</c:v>
              </c:pt>
              <c:pt idx="6">
                <c:v>18.000000</c:v>
              </c:pt>
              <c:pt idx="7">
                <c:v>20.000000</c:v>
              </c:pt>
            </c:numLit>
          </c:yVal>
          <c:smooth val="0"/>
        </c:ser>
        <c:ser>
          <c:idx val="1"/>
          <c:order val="1"/>
          <c:tx>
            <c:v>June</c:v>
          </c:tx>
          <c:spPr>
            <a:solidFill>
              <a:srgbClr val="FFFFFF"/>
            </a:solidFill>
            <a:ln w="12700" cap="flat">
              <a:noFill/>
              <a:prstDash val="solid"/>
              <a:miter lim="400000"/>
            </a:ln>
            <a:effectLst/>
          </c:spPr>
          <c:marker>
            <c:symbol val="circle"/>
            <c:size val="8"/>
            <c:spPr>
              <a:solidFill>
                <a:srgbClr val="FFFFFF"/>
              </a:solidFill>
              <a:ln w="254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Lit>
              <c:ptCount val="8"/>
              <c:pt idx="0">
                <c:v>1.000000</c:v>
              </c:pt>
              <c:pt idx="1">
                <c:v>3.000000</c:v>
              </c:pt>
              <c:pt idx="2">
                <c:v>5.000000</c:v>
              </c:pt>
              <c:pt idx="3">
                <c:v>6.000000</c:v>
              </c:pt>
              <c:pt idx="4">
                <c:v>8.000000</c:v>
              </c:pt>
              <c:pt idx="5">
                <c:v>9.000000</c:v>
              </c:pt>
              <c:pt idx="6">
                <c:v>11.000000</c:v>
              </c:pt>
              <c:pt idx="7">
                <c:v>12.000000</c:v>
              </c:pt>
            </c:numLit>
          </c:xVal>
          <c:yVal>
            <c:numLit>
              <c:ptCount val="8"/>
              <c:pt idx="0">
                <c:v>4.000000</c:v>
              </c:pt>
              <c:pt idx="1">
                <c:v>7.000000</c:v>
              </c:pt>
              <c:pt idx="2">
                <c:v>8.000000</c:v>
              </c:pt>
              <c:pt idx="3">
                <c:v>11.000000</c:v>
              </c:pt>
              <c:pt idx="4">
                <c:v>14.000000</c:v>
              </c:pt>
              <c:pt idx="5">
                <c:v>15.000000</c:v>
              </c:pt>
              <c:pt idx="6">
                <c:v>17.000000</c:v>
              </c:pt>
              <c:pt idx="7">
                <c:v>20.000000</c:v>
              </c:pt>
            </c:numLit>
          </c:yVal>
          <c:smooth val="0"/>
        </c:ser>
        <c:ser>
          <c:idx val="2"/>
          <c:order val="2"/>
          <c:tx>
            <c:v>July</c:v>
          </c:tx>
          <c:spPr>
            <a:solidFill>
              <a:srgbClr val="FFFFFF"/>
            </a:solidFill>
            <a:ln w="12700" cap="flat">
              <a:noFill/>
              <a:prstDash val="solid"/>
              <a:miter lim="400000"/>
            </a:ln>
            <a:effectLst/>
          </c:spPr>
          <c:marker>
            <c:symbol val="circle"/>
            <c:size val="8"/>
            <c:spPr>
              <a:solidFill>
                <a:srgbClr val="FFFFFF"/>
              </a:solidFill>
              <a:ln w="254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Lit>
              <c:ptCount val="8"/>
              <c:pt idx="0">
                <c:v>1.000000</c:v>
              </c:pt>
              <c:pt idx="1">
                <c:v>3.000000</c:v>
              </c:pt>
              <c:pt idx="2">
                <c:v>5.000000</c:v>
              </c:pt>
              <c:pt idx="3">
                <c:v>6.000000</c:v>
              </c:pt>
              <c:pt idx="4">
                <c:v>8.000000</c:v>
              </c:pt>
              <c:pt idx="5">
                <c:v>9.000000</c:v>
              </c:pt>
              <c:pt idx="6">
                <c:v>11.000000</c:v>
              </c:pt>
              <c:pt idx="7">
                <c:v>12.000000</c:v>
              </c:pt>
            </c:numLit>
          </c:xVal>
          <c:yVal>
            <c:numLit>
              <c:ptCount val="8"/>
              <c:pt idx="0">
                <c:v>0.000000</c:v>
              </c:pt>
              <c:pt idx="1">
                <c:v>2.000000</c:v>
              </c:pt>
              <c:pt idx="2">
                <c:v>4.000000</c:v>
              </c:pt>
              <c:pt idx="3">
                <c:v>6.000000</c:v>
              </c:pt>
              <c:pt idx="4">
                <c:v>8.000000</c:v>
              </c:pt>
              <c:pt idx="5">
                <c:v>12.000000</c:v>
              </c:pt>
              <c:pt idx="6">
                <c:v>15.000000</c:v>
              </c:pt>
              <c:pt idx="7">
                <c:v>18.000000</c:v>
              </c:pt>
            </c:numLit>
          </c:yVal>
          <c:smooth val="0"/>
        </c:ser>
        <c:axId val="2094734552"/>
        <c:axId val="2094734553"/>
      </c:scatterChart>
      <c:val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crossBetween val="between"/>
        <c:majorUnit val="3"/>
        <c:minorUnit val="1.5"/>
      </c:valAx>
      <c:valAx>
        <c:axId val="2094734553"/>
        <c:scaling>
          <c:orientation val="minMax"/>
          <c:max val="-0.4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</c:valAx>
      <c:spPr>
        <a:noFill/>
        <a:ln w="12700" cap="flat">
          <a:noFill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38873"/>
          <c:y val="0.0446026"/>
          <c:w val="0.722255"/>
          <c:h val="0.881835"/>
        </c:manualLayout>
      </c:layout>
      <c:lineChart>
        <c:grouping val="standard"/>
        <c:varyColors val="0"/>
        <c:ser>
          <c:idx val="0"/>
          <c:order val="0"/>
          <c:tx>
            <c:v>Region 1</c:v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tl" rotWithShape="1" blurRad="127000" dist="20658" dir="5193911">
                        <a:srgbClr val="000000">
                          <a:alpha val="41877"/>
                        </a:srgbClr>
                      </a:outerShdw>
                    </a:effectLst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'Cashflow'!$B$8:$B$30,'Cashflow'!$B$33</c:f>
              <c:strCache>
                <c:ptCount val="4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</c:strCache>
            </c:strRef>
          </c:cat>
          <c:val>
            <c:numLit>
              <c:ptCount val="4"/>
              <c:pt idx="0">
                <c:v>17.000000</c:v>
              </c:pt>
              <c:pt idx="1">
                <c:v>26.000000</c:v>
              </c:pt>
              <c:pt idx="2">
                <c:v>53.000000</c:v>
              </c:pt>
              <c:pt idx="3">
                <c:v>96.000000</c:v>
              </c:pt>
            </c:numLit>
          </c:val>
          <c:smooth val="0"/>
        </c:ser>
        <c:marker val="1"/>
        <c:axId val="2094734552"/>
        <c:axId val="2094734553"/>
      </c:lineChart>
      <c:lineChart>
        <c:grouping val="standard"/>
        <c:varyColors val="0"/>
        <c:ser>
          <c:idx val="1"/>
          <c:order val="1"/>
          <c:tx>
            <c:v>Region 2</c:v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tl" rotWithShape="1" blurRad="127000" dist="20658" dir="5193911">
                        <a:srgbClr val="000000">
                          <a:alpha val="41877"/>
                        </a:srgbClr>
                      </a:outerShdw>
                    </a:effectLst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'Cashflow'!$B$8:$B$30,'Cashflow'!$B$33</c:f>
              <c:strCache>
                <c:ptCount val="4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</c:strCache>
            </c:strRef>
          </c:cat>
          <c:val>
            <c:numLit>
              <c:ptCount val="4"/>
              <c:pt idx="0">
                <c:v>55.000000</c:v>
              </c:pt>
              <c:pt idx="1">
                <c:v>43.000000</c:v>
              </c:pt>
              <c:pt idx="2">
                <c:v>70.000000</c:v>
              </c:pt>
              <c:pt idx="3">
                <c:v>58.000000</c:v>
              </c:pt>
            </c:numLit>
          </c:val>
          <c:smooth val="0"/>
        </c:ser>
        <c:marker val="1"/>
        <c:axId val="2094734555"/>
        <c:axId val="2094734556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in val="2000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2.5"/>
        <c:minorUnit val="1.25"/>
      </c:valAx>
      <c:catAx>
        <c:axId val="209473455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12700" cap="flat">
            <a:noFill/>
            <a:prstDash val="solid"/>
            <a:miter lim="400000"/>
          </a:ln>
        </c:spPr>
        <c:crossAx val="2094734556"/>
        <c:crosses val="autoZero"/>
        <c:auto val="1"/>
        <c:lblAlgn val="ctr"/>
        <c:noMultiLvlLbl val="1"/>
      </c:catAx>
      <c:valAx>
        <c:axId val="2094734556"/>
        <c:scaling>
          <c:orientation val="minMax"/>
          <c:min val="3000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5"/>
        <c:crosses val="max"/>
        <c:crossBetween val="between"/>
        <c:majorUnit val="2.5"/>
        <c:minorUnit val="1.2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506293"/>
          <c:y val="0.0761846"/>
          <c:w val="0.345158"/>
          <c:h val="0.114205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73733"/>
          <c:y val="0.0446026"/>
          <c:w val="0.787336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 '!$E$2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'!$A$3:$A$24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2021</c:v>
                </c:pt>
              </c:strCache>
            </c:strRef>
          </c:cat>
          <c:val>
            <c:numRef>
              <c:f>'Capital '!$E$3:$E$24</c:f>
              <c:numCache>
                <c:ptCount val="22"/>
                <c:pt idx="0">
                  <c:v>-2578.000000</c:v>
                </c:pt>
                <c:pt idx="1">
                  <c:v>-4059.900000</c:v>
                </c:pt>
                <c:pt idx="2">
                  <c:v>-7679.900000</c:v>
                </c:pt>
                <c:pt idx="3">
                  <c:v>-7215.900000</c:v>
                </c:pt>
                <c:pt idx="4">
                  <c:v>-1540.600000</c:v>
                </c:pt>
                <c:pt idx="5">
                  <c:v>-3716.600000</c:v>
                </c:pt>
                <c:pt idx="6">
                  <c:v>-7887.600000</c:v>
                </c:pt>
                <c:pt idx="7">
                  <c:v>-6088.600000</c:v>
                </c:pt>
                <c:pt idx="8">
                  <c:v>-7404.600000</c:v>
                </c:pt>
                <c:pt idx="9">
                  <c:v>1767.400000</c:v>
                </c:pt>
                <c:pt idx="10">
                  <c:v>13348.400000</c:v>
                </c:pt>
                <c:pt idx="11">
                  <c:v>22512.400000</c:v>
                </c:pt>
                <c:pt idx="12">
                  <c:v>24592.400000</c:v>
                </c:pt>
                <c:pt idx="13">
                  <c:v>29466.400000</c:v>
                </c:pt>
                <c:pt idx="14">
                  <c:v>27346.400000</c:v>
                </c:pt>
                <c:pt idx="15">
                  <c:v>30031.400000</c:v>
                </c:pt>
                <c:pt idx="16">
                  <c:v>33403.400000</c:v>
                </c:pt>
                <c:pt idx="17">
                  <c:v>42303.400000</c:v>
                </c:pt>
                <c:pt idx="18">
                  <c:v>50900.400000</c:v>
                </c:pt>
                <c:pt idx="19">
                  <c:v>35008.400000</c:v>
                </c:pt>
                <c:pt idx="20">
                  <c:v>26448.400000</c:v>
                </c:pt>
                <c:pt idx="21">
                  <c:v>23939.400000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 '!$F$2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'!$A$3:$A$24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2021</c:v>
                </c:pt>
              </c:strCache>
            </c:strRef>
          </c:cat>
          <c:val>
            <c:numRef>
              <c:f>'Capital '!$F$3:$F$24</c:f>
              <c:numCache>
                <c:ptCount val="22"/>
                <c:pt idx="0">
                  <c:v>-42.000000</c:v>
                </c:pt>
                <c:pt idx="1">
                  <c:v>-35.000000</c:v>
                </c:pt>
                <c:pt idx="2">
                  <c:v>329.000000</c:v>
                </c:pt>
                <c:pt idx="3">
                  <c:v>-821.000000</c:v>
                </c:pt>
                <c:pt idx="4">
                  <c:v>-2549.000000</c:v>
                </c:pt>
                <c:pt idx="5">
                  <c:v>-4971.000000</c:v>
                </c:pt>
                <c:pt idx="6">
                  <c:v>-7237.000000</c:v>
                </c:pt>
                <c:pt idx="7">
                  <c:v>-9748.000000</c:v>
                </c:pt>
                <c:pt idx="8">
                  <c:v>-13929.000000</c:v>
                </c:pt>
                <c:pt idx="9">
                  <c:v>-20323.000000</c:v>
                </c:pt>
                <c:pt idx="10">
                  <c:v>-25860.000000</c:v>
                </c:pt>
                <c:pt idx="11">
                  <c:v>-35961.000000</c:v>
                </c:pt>
                <c:pt idx="12">
                  <c:v>-43601.000000</c:v>
                </c:pt>
                <c:pt idx="13">
                  <c:v>-51608.000000</c:v>
                </c:pt>
                <c:pt idx="14">
                  <c:v>-62177.000000</c:v>
                </c:pt>
                <c:pt idx="15">
                  <c:v>-68708.000000</c:v>
                </c:pt>
                <c:pt idx="16">
                  <c:v>-76435.000000</c:v>
                </c:pt>
                <c:pt idx="17">
                  <c:v>-88485.000000</c:v>
                </c:pt>
                <c:pt idx="18">
                  <c:v>-99356.000000</c:v>
                </c:pt>
                <c:pt idx="19">
                  <c:v>-108204.000000</c:v>
                </c:pt>
                <c:pt idx="20">
                  <c:v>-114799.000000</c:v>
                </c:pt>
                <c:pt idx="21">
                  <c:v>-114866.000000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 '!$G$2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'!$A$3:$A$24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2021</c:v>
                </c:pt>
              </c:strCache>
            </c:strRef>
          </c:cat>
          <c:val>
            <c:numRef>
              <c:f>'Capital '!$G$3:$G$24</c:f>
              <c:numCache>
                <c:ptCount val="22"/>
                <c:pt idx="0">
                  <c:v>-2620.000000</c:v>
                </c:pt>
                <c:pt idx="1">
                  <c:v>-4094.900000</c:v>
                </c:pt>
                <c:pt idx="2">
                  <c:v>-7350.900000</c:v>
                </c:pt>
                <c:pt idx="3">
                  <c:v>-8036.900000</c:v>
                </c:pt>
                <c:pt idx="4">
                  <c:v>-4089.600000</c:v>
                </c:pt>
                <c:pt idx="5">
                  <c:v>-8687.600000</c:v>
                </c:pt>
                <c:pt idx="6">
                  <c:v>-15124.600000</c:v>
                </c:pt>
                <c:pt idx="7">
                  <c:v>-15836.600000</c:v>
                </c:pt>
                <c:pt idx="8">
                  <c:v>-21333.600000</c:v>
                </c:pt>
                <c:pt idx="9">
                  <c:v>-18555.600000</c:v>
                </c:pt>
                <c:pt idx="10">
                  <c:v>-12511.600000</c:v>
                </c:pt>
                <c:pt idx="11">
                  <c:v>-13448.600000</c:v>
                </c:pt>
                <c:pt idx="12">
                  <c:v>-19008.600000</c:v>
                </c:pt>
                <c:pt idx="13">
                  <c:v>-22141.600000</c:v>
                </c:pt>
                <c:pt idx="14">
                  <c:v>-34830.600000</c:v>
                </c:pt>
                <c:pt idx="15">
                  <c:v>-38676.600000</c:v>
                </c:pt>
                <c:pt idx="16">
                  <c:v>-43031.600000</c:v>
                </c:pt>
                <c:pt idx="17">
                  <c:v>-46181.600000</c:v>
                </c:pt>
                <c:pt idx="18">
                  <c:v>-48455.600000</c:v>
                </c:pt>
                <c:pt idx="19">
                  <c:v>-73195.600000</c:v>
                </c:pt>
                <c:pt idx="20">
                  <c:v>-88350.600000</c:v>
                </c:pt>
                <c:pt idx="21">
                  <c:v>-90926.600000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45000"/>
        <c:minorUnit val="22500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144927"/>
          <c:y val="0.0520659"/>
          <c:w val="0.400927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2.xml"/></Relationships>
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3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403035</xdr:colOff>
      <xdr:row>2</xdr:row>
      <xdr:rowOff>8689</xdr:rowOff>
    </xdr:from>
    <xdr:to>
      <xdr:col>13</xdr:col>
      <xdr:colOff>628957</xdr:colOff>
      <xdr:row>47</xdr:row>
      <xdr:rowOff>224402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987735" y="662104"/>
          <a:ext cx="8938123" cy="1167936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2</xdr:col>
      <xdr:colOff>71726</xdr:colOff>
      <xdr:row>65</xdr:row>
      <xdr:rowOff>160392</xdr:rowOff>
    </xdr:from>
    <xdr:to>
      <xdr:col>6</xdr:col>
      <xdr:colOff>257023</xdr:colOff>
      <xdr:row>79</xdr:row>
      <xdr:rowOff>109795</xdr:rowOff>
    </xdr:to>
    <xdr:graphicFrame>
      <xdr:nvGraphicFramePr>
        <xdr:cNvPr id="4" name="Scatter Chart"/>
        <xdr:cNvGraphicFramePr/>
      </xdr:nvGraphicFramePr>
      <xdr:xfrm>
        <a:off x="1379826" y="17538437"/>
        <a:ext cx="3436498" cy="348762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2</xdr:col>
      <xdr:colOff>589102</xdr:colOff>
      <xdr:row>67</xdr:row>
      <xdr:rowOff>192705</xdr:rowOff>
    </xdr:from>
    <xdr:to>
      <xdr:col>6</xdr:col>
      <xdr:colOff>38795</xdr:colOff>
      <xdr:row>73</xdr:row>
      <xdr:rowOff>16267</xdr:rowOff>
    </xdr:to>
    <xdr:sp>
      <xdr:nvSpPr>
        <xdr:cNvPr id="5" name="Line"/>
        <xdr:cNvSpPr/>
      </xdr:nvSpPr>
      <xdr:spPr>
        <a:xfrm>
          <a:off x="1897202" y="18076210"/>
          <a:ext cx="2700894" cy="1339943"/>
        </a:xfrm>
        <a:prstGeom prst="line">
          <a:avLst/>
        </a:prstGeom>
        <a:noFill/>
        <a:ln w="25400" cap="flat">
          <a:solidFill>
            <a:srgbClr val="000000"/>
          </a:solidFill>
          <a:prstDash val="solid"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1</xdr:col>
      <xdr:colOff>792953</xdr:colOff>
      <xdr:row>61</xdr:row>
      <xdr:rowOff>90142</xdr:rowOff>
    </xdr:from>
    <xdr:to>
      <xdr:col>6</xdr:col>
      <xdr:colOff>635044</xdr:colOff>
      <xdr:row>66</xdr:row>
      <xdr:rowOff>30236</xdr:rowOff>
    </xdr:to>
    <xdr:sp>
      <xdr:nvSpPr>
        <xdr:cNvPr id="6" name="BBCA, HMSP &amp; PROPERTY STOCKS SALES TO ASSETS, COST RATIO TOO LOW"/>
        <xdr:cNvSpPr txBox="1"/>
      </xdr:nvSpPr>
      <xdr:spPr>
        <a:xfrm>
          <a:off x="1300953" y="16457267"/>
          <a:ext cx="3893392" cy="1203745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0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0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BBCA, HMSP &amp; PROPERTY STOCKS SALES TO ASSETS, COST RATIO TOO </a:t>
          </a:r>
          <a:r>
            <a:rPr b="1" baseline="0" cap="none" i="0" spc="0" strike="noStrike" sz="20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LOW</a:t>
          </a:r>
        </a:p>
      </xdr:txBody>
    </xdr:sp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14</xdr:col>
      <xdr:colOff>256807</xdr:colOff>
      <xdr:row>46</xdr:row>
      <xdr:rowOff>247826</xdr:rowOff>
    </xdr:from>
    <xdr:to>
      <xdr:col>17</xdr:col>
      <xdr:colOff>1175906</xdr:colOff>
      <xdr:row>60</xdr:row>
      <xdr:rowOff>46722</xdr:rowOff>
    </xdr:to>
    <xdr:graphicFrame>
      <xdr:nvGraphicFramePr>
        <xdr:cNvPr id="8" name="2 Axis Chart"/>
        <xdr:cNvGraphicFramePr/>
      </xdr:nvGraphicFramePr>
      <xdr:xfrm>
        <a:off x="10391407" y="12340131"/>
        <a:ext cx="4132200" cy="3337117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4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714669</xdr:colOff>
      <xdr:row>26</xdr:row>
      <xdr:rowOff>88941</xdr:rowOff>
    </xdr:from>
    <xdr:to>
      <xdr:col>9</xdr:col>
      <xdr:colOff>936602</xdr:colOff>
      <xdr:row>39</xdr:row>
      <xdr:rowOff>140566</xdr:rowOff>
    </xdr:to>
    <xdr:graphicFrame>
      <xdr:nvGraphicFramePr>
        <xdr:cNvPr id="10" name="2D Line Chart"/>
        <xdr:cNvGraphicFramePr/>
      </xdr:nvGraphicFramePr>
      <xdr:xfrm>
        <a:off x="4588169" y="6807241"/>
        <a:ext cx="3790634" cy="3337116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4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53906" style="1" customWidth="1"/>
    <col min="2" max="2" width="17.0234" style="1" customWidth="1"/>
    <col min="3" max="6" width="9.15625" style="1" customWidth="1"/>
    <col min="7" max="16384" width="16.3516" style="1" customWidth="1"/>
  </cols>
  <sheetData>
    <row r="1" ht="23.8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5">
        <v>2</v>
      </c>
      <c r="F3" s="4"/>
    </row>
    <row r="4" ht="20.25" customHeight="1">
      <c r="B4" t="s" s="6">
        <v>3</v>
      </c>
      <c r="C4" s="7">
        <f>AVERAGE('Sales'!G29:G32)</f>
        <v>0.08588451799821489</v>
      </c>
      <c r="D4" s="8"/>
      <c r="E4" s="8"/>
      <c r="F4" s="9">
        <f>AVERAGE(C5:F5)</f>
        <v>0.03</v>
      </c>
    </row>
    <row r="5" ht="20.05" customHeight="1">
      <c r="B5" t="s" s="10">
        <v>4</v>
      </c>
      <c r="C5" s="11">
        <v>0.03</v>
      </c>
      <c r="D5" s="12">
        <v>0.04</v>
      </c>
      <c r="E5" s="12">
        <v>0.05</v>
      </c>
      <c r="F5" s="12">
        <v>0</v>
      </c>
    </row>
    <row r="6" ht="20.05" customHeight="1">
      <c r="B6" t="s" s="10">
        <v>5</v>
      </c>
      <c r="C6" s="13">
        <f>'Sales'!C32*(1+C5)</f>
        <v>74027.13</v>
      </c>
      <c r="D6" s="14">
        <f>C6*(1+D5)</f>
        <v>76988.215200000006</v>
      </c>
      <c r="E6" s="14">
        <f>D6*(1+E5)</f>
        <v>80837.62596</v>
      </c>
      <c r="F6" s="14">
        <f>E6*(1+F5)</f>
        <v>80837.62596</v>
      </c>
    </row>
    <row r="7" ht="20.05" customHeight="1">
      <c r="B7" t="s" s="10">
        <v>6</v>
      </c>
      <c r="C7" s="15">
        <f>AVERAGE('Sales'!I32)</f>
        <v>-0.82751309318528</v>
      </c>
      <c r="D7" s="16">
        <f>C7</f>
        <v>-0.82751309318528</v>
      </c>
      <c r="E7" s="16">
        <f>D7</f>
        <v>-0.82751309318528</v>
      </c>
      <c r="F7" s="16">
        <f>E7</f>
        <v>-0.82751309318528</v>
      </c>
    </row>
    <row r="8" ht="20.05" customHeight="1">
      <c r="B8" t="s" s="10">
        <v>7</v>
      </c>
      <c r="C8" s="17">
        <f>C7*C6</f>
        <v>-61258.4193259288</v>
      </c>
      <c r="D8" s="18">
        <f>D7*D6</f>
        <v>-63708.756098966</v>
      </c>
      <c r="E8" s="18">
        <f>E7*E6</f>
        <v>-66894.1939039143</v>
      </c>
      <c r="F8" s="18">
        <f>F7*F6</f>
        <v>-66894.1939039143</v>
      </c>
    </row>
    <row r="9" ht="20.05" customHeight="1">
      <c r="B9" t="s" s="10">
        <v>8</v>
      </c>
      <c r="C9" s="17">
        <f>C6+C8</f>
        <v>12768.7106740712</v>
      </c>
      <c r="D9" s="18">
        <f>D6+D8</f>
        <v>13279.459101034</v>
      </c>
      <c r="E9" s="18">
        <f>E6+E8</f>
        <v>13943.4320560857</v>
      </c>
      <c r="F9" s="18">
        <f>F6+F8</f>
        <v>13943.4320560857</v>
      </c>
    </row>
    <row r="10" ht="20.05" customHeight="1">
      <c r="B10" t="s" s="10">
        <v>9</v>
      </c>
      <c r="C10" s="17">
        <f>AVERAGE('Cashflow'!E29:E32)</f>
        <v>-1436</v>
      </c>
      <c r="D10" s="18">
        <f>C10</f>
        <v>-1436</v>
      </c>
      <c r="E10" s="18">
        <f>D10</f>
        <v>-1436</v>
      </c>
      <c r="F10" s="18">
        <f>E10</f>
        <v>-1436</v>
      </c>
    </row>
    <row r="11" ht="20.05" customHeight="1">
      <c r="B11" t="s" s="10">
        <v>10</v>
      </c>
      <c r="C11" s="17">
        <f>C12+C15+C13</f>
        <v>-11332.7106740712</v>
      </c>
      <c r="D11" s="18">
        <f>D12+D15+D13</f>
        <v>-11843.459101034</v>
      </c>
      <c r="E11" s="18">
        <f>E12+E15+E13</f>
        <v>-12507.4320560857</v>
      </c>
      <c r="F11" s="18">
        <f>F12+F15+F13</f>
        <v>-12507.4320560857</v>
      </c>
    </row>
    <row r="12" ht="20.05" customHeight="1">
      <c r="B12" t="s" s="10">
        <v>11</v>
      </c>
      <c r="C12" s="17">
        <f>-('Balance sheet'!H32)/20</f>
        <v>-11266.4</v>
      </c>
      <c r="D12" s="18">
        <f>-C27/20</f>
        <v>-7329.43</v>
      </c>
      <c r="E12" s="18">
        <f>-D27/20</f>
        <v>-6962.9585</v>
      </c>
      <c r="F12" s="18">
        <f>-E27/20</f>
        <v>-6614.810575</v>
      </c>
    </row>
    <row r="13" ht="20.05" customHeight="1">
      <c r="B13" t="s" s="10">
        <v>12</v>
      </c>
      <c r="C13" s="17">
        <f>-MIN(0,C16)</f>
        <v>3878.773595557280</v>
      </c>
      <c r="D13" s="18">
        <f>-MIN(C28,D16)</f>
        <v>-364.6454606204</v>
      </c>
      <c r="E13" s="18">
        <f>-MIN(D28,E16)</f>
        <v>-1129.500733651420</v>
      </c>
      <c r="F13" s="18">
        <f>-MIN(E28,F16)</f>
        <v>-1477.648658651420</v>
      </c>
    </row>
    <row r="14" ht="20.05" customHeight="1">
      <c r="B14" t="s" s="10">
        <v>13</v>
      </c>
      <c r="C14" s="19">
        <v>0.4</v>
      </c>
      <c r="D14" s="18"/>
      <c r="E14" s="18"/>
      <c r="F14" s="18"/>
    </row>
    <row r="15" ht="20.05" customHeight="1">
      <c r="B15" t="s" s="10">
        <v>14</v>
      </c>
      <c r="C15" s="17">
        <f>IF(C22&gt;0,-C22*$C$14,0)</f>
        <v>-3945.084269628480</v>
      </c>
      <c r="D15" s="18">
        <f>IF(D22&gt;0,-D22*$C$14,0)</f>
        <v>-4149.3836404136</v>
      </c>
      <c r="E15" s="18">
        <f>IF(E22&gt;0,-E22*$C$14,0)</f>
        <v>-4414.972822434280</v>
      </c>
      <c r="F15" s="18">
        <f>IF(F22&gt;0,-F22*$C$14,0)</f>
        <v>-4414.972822434280</v>
      </c>
    </row>
    <row r="16" ht="20.05" customHeight="1">
      <c r="B16" t="s" s="10">
        <v>15</v>
      </c>
      <c r="C16" s="17">
        <f>C9+C10+C12+C15</f>
        <v>-3878.773595557280</v>
      </c>
      <c r="D16" s="18">
        <f>D9+D10+D12+D15</f>
        <v>364.6454606204</v>
      </c>
      <c r="E16" s="18">
        <f>E9+E10+E12+E15</f>
        <v>1129.500733651420</v>
      </c>
      <c r="F16" s="18">
        <f>F9+F10+F12+F15</f>
        <v>1477.648658651420</v>
      </c>
    </row>
    <row r="17" ht="20.05" customHeight="1">
      <c r="B17" t="s" s="10">
        <v>16</v>
      </c>
      <c r="C17" s="17">
        <f>'Balance sheet'!C32</f>
        <v>67255</v>
      </c>
      <c r="D17" s="18">
        <f>C19</f>
        <v>67255</v>
      </c>
      <c r="E17" s="18">
        <f>D19</f>
        <v>67255</v>
      </c>
      <c r="F17" s="18">
        <f>E19</f>
        <v>67255</v>
      </c>
    </row>
    <row r="18" ht="20.05" customHeight="1">
      <c r="B18" t="s" s="10">
        <v>17</v>
      </c>
      <c r="C18" s="17">
        <f>C9+C10+C11</f>
        <v>0</v>
      </c>
      <c r="D18" s="18">
        <f>D9+D10+D11</f>
        <v>0</v>
      </c>
      <c r="E18" s="18">
        <f>E9+E10+E11</f>
        <v>0</v>
      </c>
      <c r="F18" s="18">
        <f>F9+F10+F11</f>
        <v>0</v>
      </c>
    </row>
    <row r="19" ht="20.05" customHeight="1">
      <c r="B19" t="s" s="10">
        <v>18</v>
      </c>
      <c r="C19" s="17">
        <f>C17+C18</f>
        <v>67255</v>
      </c>
      <c r="D19" s="18">
        <f>D17+D18</f>
        <v>67255</v>
      </c>
      <c r="E19" s="18">
        <f>E17+E18</f>
        <v>67255</v>
      </c>
      <c r="F19" s="18">
        <f>F17+F18</f>
        <v>67255</v>
      </c>
    </row>
    <row r="20" ht="20.05" customHeight="1">
      <c r="B20" t="s" s="20">
        <v>19</v>
      </c>
      <c r="C20" s="17"/>
      <c r="D20" s="18"/>
      <c r="E20" s="18"/>
      <c r="F20" s="21"/>
    </row>
    <row r="21" ht="20.05" customHeight="1">
      <c r="B21" t="s" s="10">
        <v>20</v>
      </c>
      <c r="C21" s="17">
        <f>-AVERAGE('Sales'!E32)</f>
        <v>-2906</v>
      </c>
      <c r="D21" s="18">
        <f>C21</f>
        <v>-2906</v>
      </c>
      <c r="E21" s="18">
        <f>D21</f>
        <v>-2906</v>
      </c>
      <c r="F21" s="18">
        <f>E21</f>
        <v>-2906</v>
      </c>
    </row>
    <row r="22" ht="20.05" customHeight="1">
      <c r="B22" t="s" s="10">
        <v>21</v>
      </c>
      <c r="C22" s="17">
        <f>C6+C8+C21</f>
        <v>9862.710674071201</v>
      </c>
      <c r="D22" s="18">
        <f>D6+D8+D21</f>
        <v>10373.459101034</v>
      </c>
      <c r="E22" s="18">
        <f>E6+E8+E21</f>
        <v>11037.4320560857</v>
      </c>
      <c r="F22" s="18">
        <f>F6+F8+F21</f>
        <v>11037.4320560857</v>
      </c>
    </row>
    <row r="23" ht="20.05" customHeight="1">
      <c r="B23" t="s" s="20">
        <v>22</v>
      </c>
      <c r="C23" s="17"/>
      <c r="D23" s="18"/>
      <c r="E23" s="18"/>
      <c r="F23" s="18"/>
    </row>
    <row r="24" ht="20.05" customHeight="1">
      <c r="B24" t="s" s="10">
        <v>23</v>
      </c>
      <c r="C24" s="17">
        <f>'Balance sheet'!E32+'Balance sheet'!F32-C10</f>
        <v>416465</v>
      </c>
      <c r="D24" s="18">
        <f>C24-D10</f>
        <v>417901</v>
      </c>
      <c r="E24" s="18">
        <f>D24-E10</f>
        <v>419337</v>
      </c>
      <c r="F24" s="18">
        <f>E24-F10</f>
        <v>420773</v>
      </c>
    </row>
    <row r="25" ht="20.05" customHeight="1">
      <c r="B25" t="s" s="10">
        <v>24</v>
      </c>
      <c r="C25" s="17">
        <f>'Balance sheet'!F32-C21</f>
        <v>102007</v>
      </c>
      <c r="D25" s="18">
        <f>C25-D21</f>
        <v>104913</v>
      </c>
      <c r="E25" s="18">
        <f>D25-E21</f>
        <v>107819</v>
      </c>
      <c r="F25" s="18">
        <f>E25-F21</f>
        <v>110725</v>
      </c>
    </row>
    <row r="26" ht="20.05" customHeight="1">
      <c r="B26" t="s" s="10">
        <v>25</v>
      </c>
      <c r="C26" s="17">
        <f>C24-C25</f>
        <v>314458</v>
      </c>
      <c r="D26" s="18">
        <f>D24-D25</f>
        <v>312988</v>
      </c>
      <c r="E26" s="18">
        <f>E24-E25</f>
        <v>311518</v>
      </c>
      <c r="F26" s="18">
        <f>F24-F25</f>
        <v>310048</v>
      </c>
    </row>
    <row r="27" ht="20.05" customHeight="1">
      <c r="B27" t="s" s="10">
        <v>11</v>
      </c>
      <c r="C27" s="17">
        <f>'Balance sheet'!G32+C12</f>
        <v>146588.6</v>
      </c>
      <c r="D27" s="18">
        <f>C27+D12</f>
        <v>139259.17</v>
      </c>
      <c r="E27" s="18">
        <f>D27+E12</f>
        <v>132296.2115</v>
      </c>
      <c r="F27" s="18">
        <f>E27+F12</f>
        <v>125681.400925</v>
      </c>
    </row>
    <row r="28" ht="20.05" customHeight="1">
      <c r="B28" t="s" s="10">
        <v>12</v>
      </c>
      <c r="C28" s="17">
        <f>C13</f>
        <v>3878.773595557280</v>
      </c>
      <c r="D28" s="18">
        <f>C28+D13</f>
        <v>3514.128134936880</v>
      </c>
      <c r="E28" s="18">
        <f>D28+E13</f>
        <v>2384.627401285460</v>
      </c>
      <c r="F28" s="18">
        <f>E28+F13</f>
        <v>906.978742634040</v>
      </c>
    </row>
    <row r="29" ht="20.05" customHeight="1">
      <c r="B29" t="s" s="10">
        <v>26</v>
      </c>
      <c r="C29" s="17">
        <f>'Balance sheet'!H32+C22+C15</f>
        <v>231245.626404443</v>
      </c>
      <c r="D29" s="18">
        <f>C29+D22+D15</f>
        <v>237469.701865063</v>
      </c>
      <c r="E29" s="18">
        <f>D29+E22+E15</f>
        <v>244092.161098714</v>
      </c>
      <c r="F29" s="18">
        <f>E29+F22+F15</f>
        <v>250714.620332365</v>
      </c>
    </row>
    <row r="30" ht="20.05" customHeight="1">
      <c r="B30" t="s" s="10">
        <v>27</v>
      </c>
      <c r="C30" s="17">
        <f>C27+C28+C29-C19-C26</f>
        <v>2.8e-10</v>
      </c>
      <c r="D30" s="18">
        <f>D27+D28+D29-D19-D26</f>
        <v>-1.2e-10</v>
      </c>
      <c r="E30" s="18">
        <f>E27+E28+E29-E19-E26</f>
        <v>-5.4e-10</v>
      </c>
      <c r="F30" s="18">
        <f>F27+F28+F29-F19-F26</f>
        <v>-9.6e-10</v>
      </c>
    </row>
    <row r="31" ht="20.05" customHeight="1">
      <c r="B31" t="s" s="10">
        <v>28</v>
      </c>
      <c r="C31" s="17">
        <f>C19-C27-C28</f>
        <v>-83212.373595557307</v>
      </c>
      <c r="D31" s="18">
        <f>D19-D27-D28</f>
        <v>-75518.298134936893</v>
      </c>
      <c r="E31" s="18">
        <f>E19-E27-E28</f>
        <v>-67425.8389012855</v>
      </c>
      <c r="F31" s="18">
        <f>F19-F27-F28</f>
        <v>-59333.379667634</v>
      </c>
    </row>
    <row r="32" ht="20.05" customHeight="1">
      <c r="B32" t="s" s="20">
        <v>29</v>
      </c>
      <c r="C32" s="17"/>
      <c r="D32" s="18"/>
      <c r="E32" s="18"/>
      <c r="F32" s="18"/>
    </row>
    <row r="33" ht="20.05" customHeight="1">
      <c r="B33" t="s" s="10">
        <v>30</v>
      </c>
      <c r="C33" s="17">
        <f>'Cashflow'!M32-C11</f>
        <v>80117.7106740712</v>
      </c>
      <c r="D33" s="18">
        <f>C33-D11</f>
        <v>91961.1697751052</v>
      </c>
      <c r="E33" s="18">
        <f>D33-E11</f>
        <v>104468.601831191</v>
      </c>
      <c r="F33" s="18">
        <f>E33-F11</f>
        <v>116976.033887277</v>
      </c>
    </row>
    <row r="34" ht="20.05" customHeight="1">
      <c r="B34" t="s" s="10">
        <v>31</v>
      </c>
      <c r="C34" s="17"/>
      <c r="D34" s="18"/>
      <c r="E34" s="18"/>
      <c r="F34" s="18">
        <v>291481908019200</v>
      </c>
    </row>
    <row r="35" ht="20.05" customHeight="1">
      <c r="B35" t="s" s="10">
        <v>31</v>
      </c>
      <c r="C35" s="17"/>
      <c r="D35" s="18"/>
      <c r="E35" s="18"/>
      <c r="F35" s="18">
        <f>F34/1000000000</f>
        <v>291481.9080192</v>
      </c>
    </row>
    <row r="36" ht="20.05" customHeight="1">
      <c r="B36" t="s" s="10">
        <v>32</v>
      </c>
      <c r="C36" s="17"/>
      <c r="D36" s="18"/>
      <c r="E36" s="18"/>
      <c r="F36" s="22">
        <f>F35/(F19+F26)</f>
        <v>0.772540658354691</v>
      </c>
    </row>
    <row r="37" ht="20.05" customHeight="1">
      <c r="B37" t="s" s="10">
        <v>33</v>
      </c>
      <c r="C37" s="17"/>
      <c r="D37" s="18"/>
      <c r="E37" s="18"/>
      <c r="F37" s="16">
        <f>-(C15+D15+E15+F15)/F35</f>
        <v>0.0580633414606159</v>
      </c>
    </row>
    <row r="38" ht="20.05" customHeight="1">
      <c r="B38" t="s" s="10">
        <v>3</v>
      </c>
      <c r="C38" s="17"/>
      <c r="D38" s="18"/>
      <c r="E38" s="18"/>
      <c r="F38" s="18">
        <f>SUM(C9:F10)</f>
        <v>48191.0338872766</v>
      </c>
    </row>
    <row r="39" ht="20.05" customHeight="1">
      <c r="B39" t="s" s="10">
        <v>34</v>
      </c>
      <c r="C39" s="17"/>
      <c r="D39" s="18"/>
      <c r="E39" s="18"/>
      <c r="F39" s="18">
        <f>'Balance sheet'!E32/F38</f>
        <v>6.55574231378778</v>
      </c>
    </row>
    <row r="40" ht="20.05" customHeight="1">
      <c r="B40" t="s" s="10">
        <v>29</v>
      </c>
      <c r="C40" s="17"/>
      <c r="D40" s="18"/>
      <c r="E40" s="18"/>
      <c r="F40" s="18">
        <f>F35/F38</f>
        <v>6.04846761953694</v>
      </c>
    </row>
    <row r="41" ht="20.05" customHeight="1">
      <c r="B41" t="s" s="10">
        <v>35</v>
      </c>
      <c r="C41" s="17"/>
      <c r="D41" s="18"/>
      <c r="E41" s="18"/>
      <c r="F41" s="18">
        <v>10</v>
      </c>
    </row>
    <row r="42" ht="20.05" customHeight="1">
      <c r="B42" t="s" s="10">
        <v>36</v>
      </c>
      <c r="C42" s="17"/>
      <c r="D42" s="18"/>
      <c r="E42" s="18"/>
      <c r="F42" s="18">
        <f>F38*F41</f>
        <v>481910.338872766</v>
      </c>
    </row>
    <row r="43" ht="20.05" customHeight="1">
      <c r="B43" t="s" s="10">
        <v>37</v>
      </c>
      <c r="C43" s="17"/>
      <c r="D43" s="18"/>
      <c r="E43" s="18"/>
      <c r="F43" s="18">
        <f>F35/F45</f>
        <v>40.483598336</v>
      </c>
    </row>
    <row r="44" ht="20.05" customHeight="1">
      <c r="B44" t="s" s="10">
        <v>38</v>
      </c>
      <c r="C44" s="17"/>
      <c r="D44" s="18"/>
      <c r="E44" s="18"/>
      <c r="F44" s="18">
        <f>F42/F43</f>
        <v>11903.8415230058</v>
      </c>
    </row>
    <row r="45" ht="20.05" customHeight="1">
      <c r="B45" t="s" s="10">
        <v>39</v>
      </c>
      <c r="C45" s="17"/>
      <c r="D45" s="18"/>
      <c r="E45" s="18"/>
      <c r="F45" s="18">
        <v>7200</v>
      </c>
    </row>
    <row r="46" ht="20.05" customHeight="1">
      <c r="B46" t="s" s="10">
        <v>40</v>
      </c>
      <c r="C46" s="17"/>
      <c r="D46" s="18"/>
      <c r="E46" s="18"/>
      <c r="F46" s="16">
        <f>F44/F45-1</f>
        <v>0.653311322639694</v>
      </c>
    </row>
    <row r="47" ht="20.05" customHeight="1">
      <c r="B47" t="s" s="10">
        <v>41</v>
      </c>
      <c r="C47" s="17"/>
      <c r="D47" s="18"/>
      <c r="E47" s="18"/>
      <c r="F47" s="16">
        <f>'Sales'!C32/'Sales'!C28-1</f>
        <v>0.390154738878143</v>
      </c>
    </row>
    <row r="48" ht="20.05" customHeight="1">
      <c r="B48" t="s" s="10">
        <v>42</v>
      </c>
      <c r="C48" s="17"/>
      <c r="D48" s="18"/>
      <c r="E48" s="18"/>
      <c r="F48" s="16">
        <f>'Sales'!F35/'Sales'!E35-1</f>
        <v>-0.00296580824141464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3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73438" style="23" customWidth="1"/>
    <col min="2" max="2" width="10.4844" style="23" customWidth="1"/>
    <col min="3" max="10" width="10.6094" style="23" customWidth="1"/>
    <col min="11" max="16384" width="16.3516" style="23" customWidth="1"/>
  </cols>
  <sheetData>
    <row r="1" ht="69.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5">
        <v>1</v>
      </c>
      <c r="C3" t="s" s="5">
        <v>5</v>
      </c>
      <c r="D3" t="s" s="5">
        <v>35</v>
      </c>
      <c r="E3" t="s" s="5">
        <v>24</v>
      </c>
      <c r="F3" t="s" s="5">
        <v>21</v>
      </c>
      <c r="G3" t="s" s="5">
        <v>43</v>
      </c>
      <c r="H3" t="s" s="5">
        <v>44</v>
      </c>
      <c r="I3" t="s" s="5">
        <v>44</v>
      </c>
      <c r="J3" t="s" s="5">
        <v>35</v>
      </c>
    </row>
    <row r="4" ht="20.25" customHeight="1">
      <c r="B4" s="24">
        <v>2015</v>
      </c>
      <c r="C4" s="25">
        <v>45190</v>
      </c>
      <c r="D4" s="26"/>
      <c r="E4" s="27">
        <v>2110</v>
      </c>
      <c r="F4" s="27">
        <v>4810</v>
      </c>
      <c r="G4" s="9"/>
      <c r="H4" s="28">
        <f>(E4+F4-C4)/C4</f>
        <v>-0.846868776277938</v>
      </c>
      <c r="I4" s="9"/>
      <c r="J4" s="9"/>
    </row>
    <row r="5" ht="20.05" customHeight="1">
      <c r="B5" s="29"/>
      <c r="C5" s="13">
        <v>47320</v>
      </c>
      <c r="D5" s="18"/>
      <c r="E5" s="14">
        <v>2040</v>
      </c>
      <c r="F5" s="14">
        <v>4950</v>
      </c>
      <c r="G5" s="12">
        <f>C5/C4-1</f>
        <v>0.0471343217526001</v>
      </c>
      <c r="H5" s="16">
        <f>(E5+F5-C5)/C5</f>
        <v>-0.852282333051564</v>
      </c>
      <c r="I5" s="12"/>
      <c r="J5" s="12"/>
    </row>
    <row r="6" ht="20.05" customHeight="1">
      <c r="B6" s="29"/>
      <c r="C6" s="13">
        <v>45670</v>
      </c>
      <c r="D6" s="18"/>
      <c r="E6" s="14">
        <v>2180</v>
      </c>
      <c r="F6" s="14">
        <v>4850</v>
      </c>
      <c r="G6" s="12">
        <f>C6/C5-1</f>
        <v>-0.0348689771766695</v>
      </c>
      <c r="H6" s="16">
        <f>(E6+F6-C6)/C6</f>
        <v>-0.846069629954018</v>
      </c>
      <c r="I6" s="12"/>
      <c r="J6" s="12"/>
    </row>
    <row r="7" ht="20.05" customHeight="1">
      <c r="B7" s="29"/>
      <c r="C7" s="13">
        <v>46020</v>
      </c>
      <c r="D7" s="18"/>
      <c r="E7" s="14">
        <v>1540</v>
      </c>
      <c r="F7" s="14">
        <v>1000</v>
      </c>
      <c r="G7" s="12">
        <f>C7/C6-1</f>
        <v>0.0076636741843661</v>
      </c>
      <c r="H7" s="16">
        <f>(E7+F7-C7)/C7</f>
        <v>-0.944806605823555</v>
      </c>
      <c r="I7" s="12"/>
      <c r="J7" s="12"/>
    </row>
    <row r="8" ht="20.05" customHeight="1">
      <c r="B8" s="30">
        <v>2016</v>
      </c>
      <c r="C8" s="13">
        <v>41890</v>
      </c>
      <c r="D8" s="18"/>
      <c r="E8" s="14">
        <v>1920</v>
      </c>
      <c r="F8" s="14">
        <v>3640</v>
      </c>
      <c r="G8" s="12">
        <f>C8/C7-1</f>
        <v>-0.0897435897435897</v>
      </c>
      <c r="H8" s="16">
        <f>(E8+F8-C8)/C8</f>
        <v>-0.867271425161136</v>
      </c>
      <c r="I8" s="16"/>
      <c r="J8" s="16"/>
    </row>
    <row r="9" ht="20.05" customHeight="1">
      <c r="B9" s="29"/>
      <c r="C9" s="13">
        <v>46320</v>
      </c>
      <c r="D9" s="18"/>
      <c r="E9" s="14">
        <v>1880</v>
      </c>
      <c r="F9" s="14">
        <v>4670</v>
      </c>
      <c r="G9" s="12">
        <f>C9/C8-1</f>
        <v>0.105753163046073</v>
      </c>
      <c r="H9" s="16">
        <f>(E9+F9-C9)/C9</f>
        <v>-0.858592400690846</v>
      </c>
      <c r="I9" s="16"/>
      <c r="J9" s="16"/>
    </row>
    <row r="10" ht="20.05" customHeight="1">
      <c r="B10" s="29"/>
      <c r="C10" s="13">
        <v>44080</v>
      </c>
      <c r="D10" s="18"/>
      <c r="E10" s="14">
        <v>1820</v>
      </c>
      <c r="F10" s="14">
        <v>4920</v>
      </c>
      <c r="G10" s="12">
        <f>C10/C9-1</f>
        <v>-0.0483592400690846</v>
      </c>
      <c r="H10" s="16">
        <f>(E10+F10-C10)/C10</f>
        <v>-0.847096188747731</v>
      </c>
      <c r="I10" s="16"/>
      <c r="J10" s="16"/>
    </row>
    <row r="11" ht="20.05" customHeight="1">
      <c r="B11" s="29"/>
      <c r="C11" s="13">
        <v>48790</v>
      </c>
      <c r="D11" s="18"/>
      <c r="E11" s="14">
        <v>1920</v>
      </c>
      <c r="F11" s="14">
        <v>5070</v>
      </c>
      <c r="G11" s="12">
        <f>C11/C10-1</f>
        <v>0.106851179673321</v>
      </c>
      <c r="H11" s="16">
        <f>(E11+F11-C11)/C11</f>
        <v>-0.8567329370772701</v>
      </c>
      <c r="I11" s="16"/>
      <c r="J11" s="16"/>
    </row>
    <row r="12" ht="20.05" customHeight="1">
      <c r="B12" s="30">
        <v>2017</v>
      </c>
      <c r="C12" s="13">
        <v>48780</v>
      </c>
      <c r="D12" s="18"/>
      <c r="E12" s="14">
        <v>1910</v>
      </c>
      <c r="F12" s="14">
        <v>6070</v>
      </c>
      <c r="G12" s="12">
        <f>C12/C11-1</f>
        <v>-0.000204960032793605</v>
      </c>
      <c r="H12" s="16">
        <f>(E12+F12-C12)/C12</f>
        <v>-0.8364083640836411</v>
      </c>
      <c r="I12" s="16"/>
      <c r="J12" s="16"/>
    </row>
    <row r="13" ht="20.05" customHeight="1">
      <c r="B13" s="29"/>
      <c r="C13" s="13">
        <v>49250</v>
      </c>
      <c r="D13" s="18"/>
      <c r="E13" s="14">
        <v>1930</v>
      </c>
      <c r="F13" s="14">
        <v>5270</v>
      </c>
      <c r="G13" s="12">
        <f>C13/C12-1</f>
        <v>0.009635096350963509</v>
      </c>
      <c r="H13" s="16">
        <f>(E13+F13-C13)/C13</f>
        <v>-0.853807106598985</v>
      </c>
      <c r="I13" s="16"/>
      <c r="J13" s="16"/>
    </row>
    <row r="14" ht="20.05" customHeight="1">
      <c r="B14" s="29"/>
      <c r="C14" s="13">
        <v>52170</v>
      </c>
      <c r="D14" s="18"/>
      <c r="E14" s="14">
        <v>3020</v>
      </c>
      <c r="F14" s="14">
        <v>6050</v>
      </c>
      <c r="G14" s="12">
        <f>C14/C13-1</f>
        <v>0.0592893401015228</v>
      </c>
      <c r="H14" s="16">
        <f>(E14+F14-C14)/C14</f>
        <v>-0.826145294230401</v>
      </c>
      <c r="I14" s="16"/>
      <c r="J14" s="16"/>
    </row>
    <row r="15" ht="20.05" customHeight="1">
      <c r="B15" s="29"/>
      <c r="C15" s="13">
        <v>55860</v>
      </c>
      <c r="D15" s="18"/>
      <c r="E15" s="14">
        <v>1010</v>
      </c>
      <c r="F15" s="14">
        <v>5730</v>
      </c>
      <c r="G15" s="12">
        <f>C15/C14-1</f>
        <v>0.07073030477285799</v>
      </c>
      <c r="H15" s="16">
        <f>(E15+F15-C15)/C15</f>
        <v>-0.879341210168278</v>
      </c>
      <c r="I15" s="16"/>
      <c r="J15" s="16"/>
    </row>
    <row r="16" ht="20.05" customHeight="1">
      <c r="B16" s="30">
        <v>2018</v>
      </c>
      <c r="C16" s="13">
        <v>55800</v>
      </c>
      <c r="D16" s="18"/>
      <c r="E16" s="14">
        <v>2230</v>
      </c>
      <c r="F16" s="14">
        <v>6300</v>
      </c>
      <c r="G16" s="12">
        <f>C16/C15-1</f>
        <v>-0.00107411385606874</v>
      </c>
      <c r="H16" s="16">
        <f>(E16+F16-C16)/C16</f>
        <v>-0.847132616487455</v>
      </c>
      <c r="I16" s="16">
        <f>AVERAGE(H13:H16)</f>
        <v>-0.85160655687128</v>
      </c>
      <c r="J16" s="16"/>
    </row>
    <row r="17" ht="20.05" customHeight="1">
      <c r="B17" s="29"/>
      <c r="C17" s="13">
        <v>56800</v>
      </c>
      <c r="D17" s="18"/>
      <c r="E17" s="14">
        <v>2270</v>
      </c>
      <c r="F17" s="14">
        <v>6900</v>
      </c>
      <c r="G17" s="12">
        <f>C17/C16-1</f>
        <v>0.017921146953405</v>
      </c>
      <c r="H17" s="16">
        <f>(E17+F17-C17)/C17</f>
        <v>-0.838556338028169</v>
      </c>
      <c r="I17" s="16">
        <f>AVERAGE(H14:H17)</f>
        <v>-0.847793864728576</v>
      </c>
      <c r="J17" s="16"/>
    </row>
    <row r="18" ht="20.05" customHeight="1">
      <c r="B18" s="29"/>
      <c r="C18" s="13">
        <v>62280</v>
      </c>
      <c r="D18" s="18"/>
      <c r="E18" s="14">
        <v>2360</v>
      </c>
      <c r="F18" s="14">
        <v>8320</v>
      </c>
      <c r="G18" s="12">
        <f>C18/C17-1</f>
        <v>0.0964788732394366</v>
      </c>
      <c r="H18" s="16">
        <f>(E18+F18-C18)/C18</f>
        <v>-0.828516377649326</v>
      </c>
      <c r="I18" s="16">
        <f>AVERAGE(H15:H18)</f>
        <v>-0.848386635583307</v>
      </c>
      <c r="J18" s="16"/>
    </row>
    <row r="19" ht="20.05" customHeight="1">
      <c r="B19" s="29"/>
      <c r="C19" s="13">
        <v>64320</v>
      </c>
      <c r="D19" s="18"/>
      <c r="E19" s="14">
        <v>2560</v>
      </c>
      <c r="F19" s="14">
        <v>5850</v>
      </c>
      <c r="G19" s="12">
        <f>C19/C18-1</f>
        <v>0.0327552986512524</v>
      </c>
      <c r="H19" s="16">
        <f>(E19+F19-C19)/C19</f>
        <v>-0.869247512437811</v>
      </c>
      <c r="I19" s="16">
        <f>AVERAGE(H16:H19)</f>
        <v>-0.84586321115069</v>
      </c>
      <c r="J19" s="16"/>
    </row>
    <row r="20" ht="20.05" customHeight="1">
      <c r="B20" s="30">
        <v>2019</v>
      </c>
      <c r="C20" s="13">
        <v>59600</v>
      </c>
      <c r="D20" s="18"/>
      <c r="E20" s="14">
        <v>3420</v>
      </c>
      <c r="F20" s="14">
        <v>6700</v>
      </c>
      <c r="G20" s="12">
        <f>C20/C19-1</f>
        <v>-0.0733830845771144</v>
      </c>
      <c r="H20" s="16">
        <f>(E20+F20-C20)/C20</f>
        <v>-0.830201342281879</v>
      </c>
      <c r="I20" s="16">
        <f>AVERAGE(H17:H20)</f>
        <v>-0.841630392599296</v>
      </c>
      <c r="J20" s="16"/>
    </row>
    <row r="21" ht="20.05" customHeight="1">
      <c r="B21" s="29"/>
      <c r="C21" s="13">
        <v>56600</v>
      </c>
      <c r="D21" s="18"/>
      <c r="E21" s="14">
        <v>3380</v>
      </c>
      <c r="F21" s="14">
        <v>5600</v>
      </c>
      <c r="G21" s="12">
        <f>C21/C20-1</f>
        <v>-0.0503355704697987</v>
      </c>
      <c r="H21" s="16">
        <f>(E21+F21-C21)/C21</f>
        <v>-0.841342756183746</v>
      </c>
      <c r="I21" s="16">
        <f>AVERAGE(H18:H21)</f>
        <v>-0.842326997138191</v>
      </c>
      <c r="J21" s="16"/>
    </row>
    <row r="22" ht="20.05" customHeight="1">
      <c r="B22" s="29"/>
      <c r="C22" s="13">
        <v>60800</v>
      </c>
      <c r="D22" s="14">
        <v>59430</v>
      </c>
      <c r="E22" s="18">
        <v>3350</v>
      </c>
      <c r="F22" s="14">
        <v>7330</v>
      </c>
      <c r="G22" s="12">
        <f>C22/C21-1</f>
        <v>0.0742049469964664</v>
      </c>
      <c r="H22" s="16">
        <f>(E22+F22-C22)/C22</f>
        <v>-0.824342105263158</v>
      </c>
      <c r="I22" s="16">
        <f>AVERAGE(H19:H22)</f>
        <v>-0.841283429041649</v>
      </c>
      <c r="J22" s="16"/>
    </row>
    <row r="23" ht="20.05" customHeight="1">
      <c r="B23" s="29"/>
      <c r="C23" s="13">
        <v>60000</v>
      </c>
      <c r="D23" s="14">
        <v>64320</v>
      </c>
      <c r="E23" s="18">
        <v>3350</v>
      </c>
      <c r="F23" s="14">
        <v>6970</v>
      </c>
      <c r="G23" s="12">
        <f>C23/C22-1</f>
        <v>-0.0131578947368421</v>
      </c>
      <c r="H23" s="16">
        <f>(E23+F23-C23)/C23</f>
        <v>-0.828</v>
      </c>
      <c r="I23" s="16">
        <f>AVERAGE(H20:H23)</f>
        <v>-0.830971550932196</v>
      </c>
      <c r="J23" s="16"/>
    </row>
    <row r="24" ht="20.05" customHeight="1">
      <c r="B24" s="30">
        <v>2020</v>
      </c>
      <c r="C24" s="13">
        <v>54000</v>
      </c>
      <c r="D24" s="14">
        <v>59600</v>
      </c>
      <c r="E24" s="14">
        <v>3700</v>
      </c>
      <c r="F24" s="14">
        <v>5600</v>
      </c>
      <c r="G24" s="12">
        <f>C24/C23-1</f>
        <v>-0.1</v>
      </c>
      <c r="H24" s="16">
        <f>(E24+F24-C24)/C24</f>
        <v>-0.8277777777777779</v>
      </c>
      <c r="I24" s="16">
        <f>AVERAGE(H21:H24)</f>
        <v>-0.8303656598061711</v>
      </c>
      <c r="J24" s="16"/>
    </row>
    <row r="25" ht="20.05" customHeight="1">
      <c r="B25" s="29"/>
      <c r="C25" s="13">
        <v>35795</v>
      </c>
      <c r="D25" s="14">
        <v>35795</v>
      </c>
      <c r="E25" s="14">
        <v>3680</v>
      </c>
      <c r="F25" s="14">
        <v>7537</v>
      </c>
      <c r="G25" s="12">
        <f>C25/C24-1</f>
        <v>-0.33712962962963</v>
      </c>
      <c r="H25" s="16"/>
      <c r="I25" s="16">
        <f>AVERAGE(H22:H25)</f>
        <v>-0.826706627680312</v>
      </c>
      <c r="J25" s="16"/>
    </row>
    <row r="26" ht="20.05" customHeight="1">
      <c r="B26" s="29"/>
      <c r="C26" s="13">
        <v>40505</v>
      </c>
      <c r="D26" s="18">
        <v>46800</v>
      </c>
      <c r="E26" s="14">
        <v>3570</v>
      </c>
      <c r="F26" s="14">
        <v>3063</v>
      </c>
      <c r="G26" s="12">
        <f>C26/C25-1</f>
        <v>0.131582623271407</v>
      </c>
      <c r="H26" s="16">
        <f>(E26+F26-C26)/C26</f>
        <v>-0.836242439205036</v>
      </c>
      <c r="I26" s="16">
        <f>AVERAGE(H23:H26)</f>
        <v>-0.8306734056609379</v>
      </c>
      <c r="J26" s="16"/>
    </row>
    <row r="27" ht="20.05" customHeight="1">
      <c r="B27" s="29"/>
      <c r="C27" s="13">
        <v>44800</v>
      </c>
      <c r="D27" s="14">
        <v>45770.65</v>
      </c>
      <c r="E27" s="14">
        <v>4150</v>
      </c>
      <c r="F27" s="14">
        <v>2400</v>
      </c>
      <c r="G27" s="12">
        <f>C27/C26-1</f>
        <v>0.106036291815825</v>
      </c>
      <c r="H27" s="16">
        <f>(E27+F27-C27)/C27</f>
        <v>-0.853794642857143</v>
      </c>
      <c r="I27" s="16">
        <f>AVERAGE(H24:H27)</f>
        <v>-0.839271619946652</v>
      </c>
      <c r="J27" s="16"/>
    </row>
    <row r="28" ht="20.05" customHeight="1">
      <c r="B28" s="30">
        <v>2021</v>
      </c>
      <c r="C28" s="13">
        <v>51700</v>
      </c>
      <c r="D28" s="14">
        <v>45696</v>
      </c>
      <c r="E28" s="18">
        <v>3598</v>
      </c>
      <c r="F28" s="18">
        <v>4657</v>
      </c>
      <c r="G28" s="12">
        <f>C28/C27-1</f>
        <v>0.154017857142857</v>
      </c>
      <c r="H28" s="16">
        <f>(E28+F28-C28)/C28</f>
        <v>-0.840328820116054</v>
      </c>
      <c r="I28" s="16">
        <f>AVERAGE(H25:H28)</f>
        <v>-0.843455300726078</v>
      </c>
      <c r="J28" s="16"/>
    </row>
    <row r="29" ht="20.05" customHeight="1">
      <c r="B29" s="29"/>
      <c r="C29" s="17">
        <v>55700</v>
      </c>
      <c r="D29" s="14">
        <v>52734</v>
      </c>
      <c r="E29" s="14">
        <v>2502</v>
      </c>
      <c r="F29" s="14">
        <v>6443</v>
      </c>
      <c r="G29" s="12">
        <f>C29/C28-1</f>
        <v>0.0773694390715667</v>
      </c>
      <c r="H29" s="16">
        <f>(E29+F29-C29)/C29</f>
        <v>-0.839407540394973</v>
      </c>
      <c r="I29" s="16">
        <f>AVERAGE(H26:H29)</f>
        <v>-0.8424433606433021</v>
      </c>
      <c r="J29" s="16"/>
    </row>
    <row r="30" ht="20.05" customHeight="1">
      <c r="B30" s="29"/>
      <c r="C30" s="17">
        <f>167402-SUM(C28:C29)</f>
        <v>60002</v>
      </c>
      <c r="D30" s="14">
        <v>59042</v>
      </c>
      <c r="E30" s="18">
        <f>10517-SUM(E28:E29)</f>
        <v>4417</v>
      </c>
      <c r="F30" s="18">
        <f>19018-SUM(F28:F29)</f>
        <v>7918</v>
      </c>
      <c r="G30" s="12">
        <f>C30/C29-1</f>
        <v>0.07723518850987431</v>
      </c>
      <c r="H30" s="16">
        <f>(E30+F30-C30)/C30</f>
        <v>-0.7944235192160261</v>
      </c>
      <c r="I30" s="16">
        <f>AVERAGE(H27:H30)</f>
        <v>-0.831988630646049</v>
      </c>
      <c r="J30" s="16"/>
    </row>
    <row r="31" ht="20.05" customHeight="1">
      <c r="B31" s="29"/>
      <c r="C31" s="17">
        <f>233485-C30-C29-C28</f>
        <v>66083</v>
      </c>
      <c r="D31" s="14">
        <v>64202.14</v>
      </c>
      <c r="E31" s="18">
        <f>14148-E30-E29-E28</f>
        <v>3631</v>
      </c>
      <c r="F31" s="18">
        <f>25586-F30-F29-F28</f>
        <v>6568</v>
      </c>
      <c r="G31" s="12">
        <f>C31/C30-1</f>
        <v>0.101346621779274</v>
      </c>
      <c r="H31" s="16">
        <f>(E31+F31-C31)/C31</f>
        <v>-0.845663786450373</v>
      </c>
      <c r="I31" s="16">
        <f>AVERAGE(H28:H31)</f>
        <v>-0.829955916544357</v>
      </c>
      <c r="J31" s="16"/>
    </row>
    <row r="32" ht="20.05" customHeight="1">
      <c r="B32" s="30">
        <v>2022</v>
      </c>
      <c r="C32" s="17">
        <v>71871</v>
      </c>
      <c r="D32" s="14">
        <v>66083</v>
      </c>
      <c r="E32" s="18">
        <f>2537+236+30+103</f>
        <v>2906</v>
      </c>
      <c r="F32" s="18">
        <v>9272</v>
      </c>
      <c r="G32" s="12">
        <f>C32/C31-1</f>
        <v>0.0875868226321444</v>
      </c>
      <c r="H32" s="16">
        <f>(E32+F32-C32)/C32</f>
        <v>-0.830557526679746</v>
      </c>
      <c r="I32" s="16">
        <f>AVERAGE(H29:H32)</f>
        <v>-0.82751309318528</v>
      </c>
      <c r="J32" s="16">
        <f>I32</f>
        <v>-0.82751309318528</v>
      </c>
    </row>
    <row r="33" ht="20.05" customHeight="1">
      <c r="B33" s="29"/>
      <c r="C33" s="17"/>
      <c r="D33" s="14">
        <f>'Model'!C6</f>
        <v>74027.13</v>
      </c>
      <c r="E33" s="18"/>
      <c r="F33" s="18"/>
      <c r="G33" s="12"/>
      <c r="H33" s="21"/>
      <c r="I33" s="12"/>
      <c r="J33" s="16">
        <f>'Model'!C7</f>
        <v>-0.82751309318528</v>
      </c>
    </row>
    <row r="34" ht="20.05" customHeight="1">
      <c r="B34" s="29"/>
      <c r="C34" s="17"/>
      <c r="D34" s="14">
        <f>'Model'!D6</f>
        <v>76988.215200000006</v>
      </c>
      <c r="E34" s="18"/>
      <c r="F34" s="18"/>
      <c r="G34" s="12"/>
      <c r="H34" s="12"/>
      <c r="I34" s="12"/>
      <c r="J34" s="12"/>
    </row>
    <row r="35" ht="20.05" customHeight="1">
      <c r="B35" s="29"/>
      <c r="C35" s="17"/>
      <c r="D35" s="14">
        <f>'Model'!E6</f>
        <v>80837.62596</v>
      </c>
      <c r="E35" s="18">
        <f>SUM(C22:C32)</f>
        <v>601256</v>
      </c>
      <c r="F35" s="18">
        <f>SUM(D22:D32)</f>
        <v>599472.79</v>
      </c>
      <c r="G35" s="12"/>
      <c r="H35" s="12"/>
      <c r="I35" s="12"/>
      <c r="J35" s="12"/>
    </row>
    <row r="36" ht="20.05" customHeight="1">
      <c r="B36" s="30">
        <v>2023</v>
      </c>
      <c r="C36" s="17"/>
      <c r="D36" s="14">
        <f>'Model'!F6</f>
        <v>80837.62596</v>
      </c>
      <c r="E36" s="18"/>
      <c r="F36" s="18"/>
      <c r="G36" s="12"/>
      <c r="H36" s="12"/>
      <c r="I36" s="12"/>
      <c r="J36" s="12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O3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73438" style="31" customWidth="1"/>
    <col min="2" max="2" width="9.5625" style="31" customWidth="1"/>
    <col min="3" max="3" width="10.7422" style="31" customWidth="1"/>
    <col min="4" max="4" width="10.4219" style="31" customWidth="1"/>
    <col min="5" max="5" width="10.2188" style="31" customWidth="1"/>
    <col min="6" max="6" width="10.4219" style="31" customWidth="1"/>
    <col min="7" max="15" width="9.57031" style="31" customWidth="1"/>
    <col min="16" max="16384" width="16.3516" style="31" customWidth="1"/>
  </cols>
  <sheetData>
    <row r="1" ht="31.7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2.25" customHeight="1">
      <c r="B3" t="s" s="5">
        <v>1</v>
      </c>
      <c r="C3" t="s" s="5">
        <v>45</v>
      </c>
      <c r="D3" t="s" s="5">
        <v>46</v>
      </c>
      <c r="E3" t="s" s="5">
        <v>47</v>
      </c>
      <c r="F3" t="s" s="5">
        <v>48</v>
      </c>
      <c r="G3" t="s" s="5">
        <v>11</v>
      </c>
      <c r="H3" t="s" s="5">
        <v>26</v>
      </c>
      <c r="I3" t="s" s="5">
        <v>49</v>
      </c>
      <c r="J3" t="s" s="5">
        <v>50</v>
      </c>
      <c r="K3" t="s" s="5">
        <v>3</v>
      </c>
      <c r="L3" t="s" s="5">
        <v>35</v>
      </c>
      <c r="M3" t="s" s="5">
        <v>51</v>
      </c>
      <c r="N3" t="s" s="5">
        <v>35</v>
      </c>
      <c r="O3" s="32"/>
    </row>
    <row r="4" ht="20.25" customHeight="1">
      <c r="B4" s="24">
        <v>2015</v>
      </c>
      <c r="C4" s="33">
        <v>55000</v>
      </c>
      <c r="D4" s="26">
        <v>8400</v>
      </c>
      <c r="E4" s="26">
        <v>2100</v>
      </c>
      <c r="F4" s="26">
        <v>-238</v>
      </c>
      <c r="G4" s="26">
        <v>-530</v>
      </c>
      <c r="H4" s="26">
        <v>-2642.25</v>
      </c>
      <c r="I4" s="26">
        <f>F4+G4+H4</f>
        <v>-3410.25</v>
      </c>
      <c r="J4" s="26">
        <f>E4+F4+D4</f>
        <v>10262</v>
      </c>
      <c r="K4" s="26"/>
      <c r="L4" s="26"/>
      <c r="M4" s="26">
        <f>-(H4+G4)</f>
        <v>3172.25</v>
      </c>
      <c r="N4" s="26"/>
      <c r="O4" s="26">
        <v>1</v>
      </c>
    </row>
    <row r="5" ht="20.05" customHeight="1">
      <c r="B5" s="29"/>
      <c r="C5" s="17">
        <v>55500</v>
      </c>
      <c r="D5" s="18">
        <v>4000</v>
      </c>
      <c r="E5" s="18">
        <v>-5700</v>
      </c>
      <c r="F5" s="18">
        <v>-31</v>
      </c>
      <c r="G5" s="18">
        <v>-530</v>
      </c>
      <c r="H5" s="18">
        <v>-2642.25</v>
      </c>
      <c r="I5" s="18">
        <f>F5+G5+H5</f>
        <v>-3203.25</v>
      </c>
      <c r="J5" s="18">
        <f>E5+F5+D5</f>
        <v>-1731</v>
      </c>
      <c r="K5" s="18"/>
      <c r="L5" s="18"/>
      <c r="M5" s="18">
        <f>-(G5+H5)+M4</f>
        <v>6344.5</v>
      </c>
      <c r="N5" s="18"/>
      <c r="O5" s="18">
        <f>1+O4</f>
        <v>2</v>
      </c>
    </row>
    <row r="6" ht="20.05" customHeight="1">
      <c r="B6" s="29"/>
      <c r="C6" s="17">
        <v>53700</v>
      </c>
      <c r="D6" s="18">
        <v>7700</v>
      </c>
      <c r="E6" s="18">
        <v>-2500</v>
      </c>
      <c r="F6" s="18">
        <v>-173</v>
      </c>
      <c r="G6" s="18">
        <v>-530</v>
      </c>
      <c r="H6" s="18">
        <v>-2642.25</v>
      </c>
      <c r="I6" s="18">
        <f>F6+G6+H6</f>
        <v>-3345.25</v>
      </c>
      <c r="J6" s="18">
        <f>E6+F6+D6</f>
        <v>5027</v>
      </c>
      <c r="K6" s="18"/>
      <c r="L6" s="18"/>
      <c r="M6" s="18">
        <f>-(G6+H6)+M5</f>
        <v>9516.75</v>
      </c>
      <c r="N6" s="18"/>
      <c r="O6" s="18">
        <f>1+O5</f>
        <v>3</v>
      </c>
    </row>
    <row r="7" ht="20.05" customHeight="1">
      <c r="B7" s="29"/>
      <c r="C7" s="17">
        <v>59500</v>
      </c>
      <c r="D7" s="18">
        <v>5800</v>
      </c>
      <c r="E7" s="18">
        <v>-1100</v>
      </c>
      <c r="F7" s="18">
        <v>-276</v>
      </c>
      <c r="G7" s="18">
        <v>-530</v>
      </c>
      <c r="H7" s="18">
        <v>-2642.25</v>
      </c>
      <c r="I7" s="18">
        <f>F7+G7+H7</f>
        <v>-3448.25</v>
      </c>
      <c r="J7" s="18">
        <f>E7+F7+D7</f>
        <v>4424</v>
      </c>
      <c r="K7" s="18"/>
      <c r="L7" s="18"/>
      <c r="M7" s="18">
        <f>-(G7+H7)+M6</f>
        <v>12689</v>
      </c>
      <c r="N7" s="18"/>
      <c r="O7" s="18">
        <f>1+O6</f>
        <v>4</v>
      </c>
    </row>
    <row r="8" ht="20.05" customHeight="1">
      <c r="B8" s="30">
        <v>2016</v>
      </c>
      <c r="C8" s="17">
        <v>48100</v>
      </c>
      <c r="D8" s="18">
        <v>6100</v>
      </c>
      <c r="E8" s="18">
        <v>-2200</v>
      </c>
      <c r="F8" s="18">
        <v>-453</v>
      </c>
      <c r="G8" s="18">
        <v>671.25</v>
      </c>
      <c r="H8" s="18">
        <v>-1632.75</v>
      </c>
      <c r="I8" s="18">
        <f>F8+G8+H8</f>
        <v>-1414.5</v>
      </c>
      <c r="J8" s="18">
        <f>E8+F8+D8</f>
        <v>3447</v>
      </c>
      <c r="K8" s="18">
        <f>AVERAGE(J5:J8)</f>
        <v>2791.75</v>
      </c>
      <c r="L8" s="18"/>
      <c r="M8" s="18">
        <f>-(G8+H8)+M7</f>
        <v>13650.5</v>
      </c>
      <c r="N8" s="18"/>
      <c r="O8" s="18">
        <f>1+O7</f>
        <v>5</v>
      </c>
    </row>
    <row r="9" ht="20.05" customHeight="1">
      <c r="B9" s="29"/>
      <c r="C9" s="17">
        <v>54800</v>
      </c>
      <c r="D9" s="18">
        <v>2900</v>
      </c>
      <c r="E9" s="18">
        <v>-1900</v>
      </c>
      <c r="F9" s="18">
        <v>-507</v>
      </c>
      <c r="G9" s="18">
        <v>671.25</v>
      </c>
      <c r="H9" s="18">
        <v>-1632.75</v>
      </c>
      <c r="I9" s="18">
        <f>F9+G9+H9</f>
        <v>-1468.5</v>
      </c>
      <c r="J9" s="18">
        <f>E9+F9+D9</f>
        <v>493</v>
      </c>
      <c r="K9" s="18">
        <f>AVERAGE(J6:J9)</f>
        <v>3347.75</v>
      </c>
      <c r="L9" s="18"/>
      <c r="M9" s="18">
        <f>-(G9+H9)+M8</f>
        <v>14612</v>
      </c>
      <c r="N9" s="18"/>
      <c r="O9" s="18">
        <f>1+O8</f>
        <v>6</v>
      </c>
    </row>
    <row r="10" ht="20.05" customHeight="1">
      <c r="B10" s="29"/>
      <c r="C10" s="17">
        <v>48900</v>
      </c>
      <c r="D10" s="18">
        <v>7000</v>
      </c>
      <c r="E10" s="18">
        <v>-1400</v>
      </c>
      <c r="F10" s="18">
        <v>-667</v>
      </c>
      <c r="G10" s="18">
        <v>671.25</v>
      </c>
      <c r="H10" s="18">
        <v>-1632.75</v>
      </c>
      <c r="I10" s="18">
        <f>F10+G10+H10</f>
        <v>-1628.5</v>
      </c>
      <c r="J10" s="18">
        <f>E10+F10+D10</f>
        <v>4933</v>
      </c>
      <c r="K10" s="18">
        <f>AVERAGE(J7:J10)</f>
        <v>3324.25</v>
      </c>
      <c r="L10" s="18"/>
      <c r="M10" s="18">
        <f>-(G10+H10)+M9</f>
        <v>15573.5</v>
      </c>
      <c r="N10" s="18"/>
      <c r="O10" s="18">
        <f>1+O9</f>
        <v>7</v>
      </c>
    </row>
    <row r="11" ht="20.05" customHeight="1">
      <c r="B11" s="29"/>
      <c r="C11" s="17">
        <v>58600</v>
      </c>
      <c r="D11" s="18">
        <v>3400</v>
      </c>
      <c r="E11" s="18">
        <v>-5300</v>
      </c>
      <c r="F11" s="18">
        <v>-415</v>
      </c>
      <c r="G11" s="18">
        <v>671.25</v>
      </c>
      <c r="H11" s="18">
        <v>-1632.75</v>
      </c>
      <c r="I11" s="18">
        <f>F11+G11+H11</f>
        <v>-1376.5</v>
      </c>
      <c r="J11" s="18">
        <f>E11+F11+D11</f>
        <v>-2315</v>
      </c>
      <c r="K11" s="18">
        <f>AVERAGE(J8:J11)</f>
        <v>1639.5</v>
      </c>
      <c r="L11" s="18"/>
      <c r="M11" s="18">
        <f>-(G11+H11)+M10</f>
        <v>16535</v>
      </c>
      <c r="N11" s="18"/>
      <c r="O11" s="18">
        <f>1+O10</f>
        <v>8</v>
      </c>
    </row>
    <row r="12" ht="20.05" customHeight="1">
      <c r="B12" s="30">
        <v>2017</v>
      </c>
      <c r="C12" s="17">
        <v>53900</v>
      </c>
      <c r="D12" s="18">
        <v>4400</v>
      </c>
      <c r="E12" s="18">
        <v>-8400</v>
      </c>
      <c r="F12" s="18">
        <v>-539</v>
      </c>
      <c r="G12" s="18">
        <v>843</v>
      </c>
      <c r="H12" s="18">
        <v>-1931.75</v>
      </c>
      <c r="I12" s="18">
        <f>F12+G12+H12</f>
        <v>-1627.75</v>
      </c>
      <c r="J12" s="18">
        <f>E12+F12+D12</f>
        <v>-4539</v>
      </c>
      <c r="K12" s="18">
        <f>AVERAGE(J9:J12)</f>
        <v>-357</v>
      </c>
      <c r="L12" s="18"/>
      <c r="M12" s="18">
        <f>-(G12+H12)+M11</f>
        <v>17623.75</v>
      </c>
      <c r="N12" s="18"/>
      <c r="O12" s="18">
        <f>1+O11</f>
        <v>9</v>
      </c>
    </row>
    <row r="13" ht="20.05" customHeight="1">
      <c r="B13" s="29"/>
      <c r="C13" s="17">
        <v>56300</v>
      </c>
      <c r="D13" s="18">
        <v>8200</v>
      </c>
      <c r="E13" s="18">
        <v>-1100</v>
      </c>
      <c r="F13" s="18">
        <v>-534</v>
      </c>
      <c r="G13" s="18">
        <v>843</v>
      </c>
      <c r="H13" s="18">
        <v>-1931.75</v>
      </c>
      <c r="I13" s="18">
        <f>F13+G13+H13</f>
        <v>-1622.75</v>
      </c>
      <c r="J13" s="18">
        <f>E13+F13+D13</f>
        <v>6566</v>
      </c>
      <c r="K13" s="18">
        <f>AVERAGE(J10:J13)</f>
        <v>1161.25</v>
      </c>
      <c r="L13" s="18"/>
      <c r="M13" s="18">
        <f>-(G13+H13)+M12</f>
        <v>18712.5</v>
      </c>
      <c r="N13" s="18"/>
      <c r="O13" s="18">
        <f>1+O12</f>
        <v>10</v>
      </c>
    </row>
    <row r="14" ht="20.05" customHeight="1">
      <c r="B14" s="29"/>
      <c r="C14" s="17">
        <v>57700</v>
      </c>
      <c r="D14" s="18">
        <v>4400</v>
      </c>
      <c r="E14" s="18">
        <v>-2900</v>
      </c>
      <c r="F14" s="18">
        <v>-524</v>
      </c>
      <c r="G14" s="18">
        <v>843</v>
      </c>
      <c r="H14" s="18">
        <v>-1931.75</v>
      </c>
      <c r="I14" s="18">
        <f>F14+G14+H14</f>
        <v>-1612.75</v>
      </c>
      <c r="J14" s="18">
        <f>E14+F14+D14</f>
        <v>976</v>
      </c>
      <c r="K14" s="18">
        <f>AVERAGE(J11:J14)</f>
        <v>172</v>
      </c>
      <c r="L14" s="18"/>
      <c r="M14" s="18">
        <f>-(G14+H14)+M13</f>
        <v>19801.25</v>
      </c>
      <c r="N14" s="18"/>
      <c r="O14" s="18">
        <f>1+O13</f>
        <v>11</v>
      </c>
    </row>
    <row r="15" ht="20.05" customHeight="1">
      <c r="B15" s="29"/>
      <c r="C15" s="17">
        <v>65700</v>
      </c>
      <c r="D15" s="18">
        <v>6300</v>
      </c>
      <c r="E15" s="18">
        <v>-2500</v>
      </c>
      <c r="F15" s="18">
        <v>-232</v>
      </c>
      <c r="G15" s="18">
        <v>843</v>
      </c>
      <c r="H15" s="18">
        <v>-1931.75</v>
      </c>
      <c r="I15" s="18">
        <f>F15+G15+H15</f>
        <v>-1320.75</v>
      </c>
      <c r="J15" s="18">
        <f>E15+F15+D15</f>
        <v>3568</v>
      </c>
      <c r="K15" s="18">
        <f>AVERAGE(J12:J15)</f>
        <v>1642.75</v>
      </c>
      <c r="L15" s="18"/>
      <c r="M15" s="18">
        <f>-(G15+H15)+M14</f>
        <v>20890</v>
      </c>
      <c r="N15" s="18"/>
      <c r="O15" s="18">
        <f>1+O14</f>
        <v>12</v>
      </c>
    </row>
    <row r="16" ht="20.05" customHeight="1">
      <c r="B16" s="30">
        <v>2018</v>
      </c>
      <c r="C16" s="17">
        <v>62000</v>
      </c>
      <c r="D16" s="18">
        <v>5500</v>
      </c>
      <c r="E16" s="18">
        <v>-8500</v>
      </c>
      <c r="F16" s="18">
        <v>-520</v>
      </c>
      <c r="G16" s="18">
        <v>2225</v>
      </c>
      <c r="H16" s="18">
        <v>-3012.5</v>
      </c>
      <c r="I16" s="18">
        <f>F16+G16+H16</f>
        <v>-1307.5</v>
      </c>
      <c r="J16" s="18">
        <f>E16+F16+D16</f>
        <v>-3520</v>
      </c>
      <c r="K16" s="18">
        <f>AVERAGE(J13:J16)</f>
        <v>1897.5</v>
      </c>
      <c r="L16" s="18"/>
      <c r="M16" s="18">
        <f>-(G16+H16)+M15</f>
        <v>21677.5</v>
      </c>
      <c r="N16" s="18"/>
      <c r="O16" s="18">
        <f>1+O15</f>
        <v>13</v>
      </c>
    </row>
    <row r="17" ht="20.05" customHeight="1">
      <c r="B17" s="29"/>
      <c r="C17" s="17">
        <v>63400</v>
      </c>
      <c r="D17" s="18">
        <v>3800</v>
      </c>
      <c r="E17" s="18">
        <v>200</v>
      </c>
      <c r="F17" s="18">
        <v>-627</v>
      </c>
      <c r="G17" s="18">
        <v>2225</v>
      </c>
      <c r="H17" s="18">
        <v>-3012.5</v>
      </c>
      <c r="I17" s="18">
        <f>F17+G17+H17</f>
        <v>-1414.5</v>
      </c>
      <c r="J17" s="18">
        <f>E17+F17+D17</f>
        <v>3373</v>
      </c>
      <c r="K17" s="18">
        <f>AVERAGE(J14:J17)</f>
        <v>1099.25</v>
      </c>
      <c r="L17" s="18"/>
      <c r="M17" s="18">
        <f>-(G17+H17)+M16</f>
        <v>22465</v>
      </c>
      <c r="N17" s="18"/>
      <c r="O17" s="18">
        <f>1+O16</f>
        <v>14</v>
      </c>
    </row>
    <row r="18" ht="20.05" customHeight="1">
      <c r="B18" s="29"/>
      <c r="C18" s="17">
        <v>69800</v>
      </c>
      <c r="D18" s="18">
        <v>14300</v>
      </c>
      <c r="E18" s="18">
        <v>-4300</v>
      </c>
      <c r="F18" s="18">
        <v>-746</v>
      </c>
      <c r="G18" s="18">
        <v>2225</v>
      </c>
      <c r="H18" s="18">
        <v>-3012.5</v>
      </c>
      <c r="I18" s="18">
        <f>F18+G18+H18</f>
        <v>-1533.5</v>
      </c>
      <c r="J18" s="18">
        <f>E18+F18+D18</f>
        <v>9254</v>
      </c>
      <c r="K18" s="18">
        <f>AVERAGE(J15:J18)</f>
        <v>3168.75</v>
      </c>
      <c r="L18" s="18"/>
      <c r="M18" s="18">
        <f>-(G18+H18)+M17</f>
        <v>23252.5</v>
      </c>
      <c r="N18" s="18"/>
      <c r="O18" s="18">
        <f>1+O17</f>
        <v>15</v>
      </c>
    </row>
    <row r="19" ht="20.05" customHeight="1">
      <c r="B19" s="29"/>
      <c r="C19" s="17">
        <v>71700</v>
      </c>
      <c r="D19" s="18">
        <v>4100</v>
      </c>
      <c r="E19" s="18">
        <v>-17100</v>
      </c>
      <c r="F19" s="18">
        <v>170</v>
      </c>
      <c r="G19" s="18">
        <v>2225</v>
      </c>
      <c r="H19" s="18">
        <v>-3012.5</v>
      </c>
      <c r="I19" s="18">
        <f>F19+G19+H19</f>
        <v>-617.5</v>
      </c>
      <c r="J19" s="18">
        <f>E19+F19+D19</f>
        <v>-12830</v>
      </c>
      <c r="K19" s="18">
        <f>AVERAGE(J16:J19)</f>
        <v>-930.75</v>
      </c>
      <c r="L19" s="18"/>
      <c r="M19" s="18">
        <f>-(G19+H19)+M18</f>
        <v>24040</v>
      </c>
      <c r="N19" s="18"/>
      <c r="O19" s="18">
        <f>1+O18</f>
        <v>16</v>
      </c>
    </row>
    <row r="20" ht="20.05" customHeight="1">
      <c r="B20" s="30">
        <v>2019</v>
      </c>
      <c r="C20" s="17">
        <v>69700</v>
      </c>
      <c r="D20" s="18">
        <v>6100</v>
      </c>
      <c r="E20" s="18">
        <v>-7200</v>
      </c>
      <c r="F20" s="18">
        <v>-987</v>
      </c>
      <c r="G20" s="18">
        <v>2149.25</v>
      </c>
      <c r="H20" s="18">
        <v>-2717.75</v>
      </c>
      <c r="I20" s="18">
        <f>F20+G20+H20</f>
        <v>-1555.5</v>
      </c>
      <c r="J20" s="18">
        <f>E20+F20+D20</f>
        <v>-2087</v>
      </c>
      <c r="K20" s="18">
        <f>AVERAGE(J17:J20)</f>
        <v>-572.5</v>
      </c>
      <c r="L20" s="18"/>
      <c r="M20" s="18">
        <f>-(G20+H20)+M19</f>
        <v>24608.5</v>
      </c>
      <c r="N20" s="18"/>
      <c r="O20" s="18">
        <f>1+O19</f>
        <v>17</v>
      </c>
    </row>
    <row r="21" ht="20.05" customHeight="1">
      <c r="B21" s="29"/>
      <c r="C21" s="17">
        <v>60300</v>
      </c>
      <c r="D21" s="18">
        <v>1200</v>
      </c>
      <c r="E21" s="18">
        <v>-1900</v>
      </c>
      <c r="F21" s="18">
        <v>-600</v>
      </c>
      <c r="G21" s="18">
        <v>2149.25</v>
      </c>
      <c r="H21" s="18">
        <v>-2717.75</v>
      </c>
      <c r="I21" s="18">
        <f>F21+G21+H21</f>
        <v>-1168.5</v>
      </c>
      <c r="J21" s="18">
        <f>E21+F21+D21</f>
        <v>-1300</v>
      </c>
      <c r="K21" s="18">
        <f>AVERAGE(J18:J21)</f>
        <v>-1740.75</v>
      </c>
      <c r="L21" s="18"/>
      <c r="M21" s="18">
        <f>-(G21+H21)+M20</f>
        <v>25177</v>
      </c>
      <c r="N21" s="18"/>
      <c r="O21" s="18">
        <f>1+O20</f>
        <v>18</v>
      </c>
    </row>
    <row r="22" ht="20.05" customHeight="1">
      <c r="B22" s="29"/>
      <c r="C22" s="17">
        <v>73000</v>
      </c>
      <c r="D22" s="18">
        <v>10300</v>
      </c>
      <c r="E22" s="18">
        <v>-3200</v>
      </c>
      <c r="F22" s="18">
        <v>-846</v>
      </c>
      <c r="G22" s="18">
        <v>2149.25</v>
      </c>
      <c r="H22" s="18">
        <v>-2717.75</v>
      </c>
      <c r="I22" s="18">
        <f>F22+G22+H22</f>
        <v>-1414.5</v>
      </c>
      <c r="J22" s="18">
        <f>E22+F22+D22</f>
        <v>6254</v>
      </c>
      <c r="K22" s="18">
        <f>AVERAGE(J19:J22)</f>
        <v>-2490.75</v>
      </c>
      <c r="L22" s="18"/>
      <c r="M22" s="18">
        <f>-(G22+H22)+M21</f>
        <v>25745.5</v>
      </c>
      <c r="N22" s="18"/>
      <c r="O22" s="18">
        <f>1+O21</f>
        <v>19</v>
      </c>
    </row>
    <row r="23" ht="20.05" customHeight="1">
      <c r="B23" s="29"/>
      <c r="C23" s="17">
        <v>62400</v>
      </c>
      <c r="D23" s="18">
        <v>1400</v>
      </c>
      <c r="E23" s="18">
        <v>-1700</v>
      </c>
      <c r="F23" s="18">
        <v>-707</v>
      </c>
      <c r="G23" s="18">
        <v>2149.25</v>
      </c>
      <c r="H23" s="18">
        <v>-2717.75</v>
      </c>
      <c r="I23" s="18">
        <f>F23+G23+H23</f>
        <v>-1275.5</v>
      </c>
      <c r="J23" s="18">
        <f>E23+F23+D23</f>
        <v>-1007</v>
      </c>
      <c r="K23" s="18">
        <f>AVERAGE(J20:J23)</f>
        <v>465</v>
      </c>
      <c r="L23" s="18"/>
      <c r="M23" s="18">
        <f>-(G23+H23)+M22</f>
        <v>26314</v>
      </c>
      <c r="N23" s="18"/>
      <c r="O23" s="18">
        <f>1+O22</f>
        <v>20</v>
      </c>
    </row>
    <row r="24" ht="20.05" customHeight="1">
      <c r="B24" s="30">
        <v>2020</v>
      </c>
      <c r="C24" s="17">
        <v>71404</v>
      </c>
      <c r="D24" s="18">
        <v>7800</v>
      </c>
      <c r="E24" s="18">
        <v>-2500</v>
      </c>
      <c r="F24" s="18">
        <v>-730</v>
      </c>
      <c r="G24" s="18">
        <f>-36418-7901+35254+7864</f>
        <v>-1201</v>
      </c>
      <c r="H24" s="18">
        <v>10</v>
      </c>
      <c r="I24" s="18">
        <f>F24+G24+H24</f>
        <v>-1921</v>
      </c>
      <c r="J24" s="18">
        <f>E24+F24+D24</f>
        <v>4570</v>
      </c>
      <c r="K24" s="18">
        <f>AVERAGE(J21:J24)</f>
        <v>2129.25</v>
      </c>
      <c r="L24" s="18"/>
      <c r="M24" s="18">
        <f>-(G24+H24)+M23</f>
        <v>27505</v>
      </c>
      <c r="N24" s="18"/>
      <c r="O24" s="18">
        <f>1+O23</f>
        <v>21</v>
      </c>
    </row>
    <row r="25" ht="20.05" customHeight="1">
      <c r="B25" s="29"/>
      <c r="C25" s="17">
        <v>45252</v>
      </c>
      <c r="D25" s="18">
        <v>6166</v>
      </c>
      <c r="E25" s="18">
        <v>15988</v>
      </c>
      <c r="F25" s="18">
        <f>-1772-F24</f>
        <v>-1042</v>
      </c>
      <c r="G25" s="18">
        <f>-65397-17032+59462+15100-G24</f>
        <v>-6666</v>
      </c>
      <c r="H25" s="18">
        <f>-323+12-H24</f>
        <v>-321</v>
      </c>
      <c r="I25" s="18">
        <f>F25+G25+H25</f>
        <v>-8029</v>
      </c>
      <c r="J25" s="18">
        <f>E25+F25+D25</f>
        <v>21112</v>
      </c>
      <c r="K25" s="18">
        <f>AVERAGE(J22:J25)</f>
        <v>7732.25</v>
      </c>
      <c r="L25" s="18"/>
      <c r="M25" s="18">
        <f>-(G25+H25)+M24</f>
        <v>34492</v>
      </c>
      <c r="N25" s="18"/>
      <c r="O25" s="18">
        <f>1+O24</f>
        <v>22</v>
      </c>
    </row>
    <row r="26" ht="20.05" customHeight="1">
      <c r="B26" s="29"/>
      <c r="C26" s="17">
        <v>52344</v>
      </c>
      <c r="D26" s="18">
        <v>14594</v>
      </c>
      <c r="E26" s="18">
        <v>1492</v>
      </c>
      <c r="F26" s="18">
        <f>-2401+F25-F24</f>
        <v>-2713</v>
      </c>
      <c r="G26" s="18">
        <f>-82327-22407+73512+19453-G25-G24</f>
        <v>-3902</v>
      </c>
      <c r="H26" s="18">
        <f>-1617-6352+569-H25-H24</f>
        <v>-7089</v>
      </c>
      <c r="I26" s="18">
        <f>F26+G26+H26</f>
        <v>-13704</v>
      </c>
      <c r="J26" s="18">
        <f>E26+F26+D26</f>
        <v>13373</v>
      </c>
      <c r="K26" s="18">
        <f>AVERAGE(J23:J26)</f>
        <v>9512</v>
      </c>
      <c r="L26" s="18"/>
      <c r="M26" s="18">
        <f>-(G26+H26)+M25</f>
        <v>45483</v>
      </c>
      <c r="N26" s="18"/>
      <c r="O26" s="18">
        <f>1+O25</f>
        <v>23</v>
      </c>
    </row>
    <row r="27" ht="20.05" customHeight="1">
      <c r="B27" s="29"/>
      <c r="C27" s="17">
        <v>-5700</v>
      </c>
      <c r="D27" s="18">
        <v>9140</v>
      </c>
      <c r="E27" s="18">
        <v>-1880</v>
      </c>
      <c r="F27" s="18">
        <f>-3215-F26-F25-F24</f>
        <v>1270</v>
      </c>
      <c r="G27" s="18">
        <f>-15892-G26-G25-G24</f>
        <v>-4123</v>
      </c>
      <c r="H27" s="18">
        <f>-8848-H26-H25-H24</f>
        <v>-1448</v>
      </c>
      <c r="I27" s="18">
        <f>F27+G27+H27</f>
        <v>-4301</v>
      </c>
      <c r="J27" s="18">
        <f>E27+F27+D27</f>
        <v>8530</v>
      </c>
      <c r="K27" s="18">
        <f>AVERAGE(J24:J27)</f>
        <v>11896.25</v>
      </c>
      <c r="L27" s="18"/>
      <c r="M27" s="18">
        <f>-(G27+H27)+M26</f>
        <v>51054</v>
      </c>
      <c r="N27" s="18"/>
      <c r="O27" s="18">
        <f>1+O26</f>
        <v>24</v>
      </c>
    </row>
    <row r="28" ht="20.05" customHeight="1">
      <c r="B28" s="30">
        <v>2021</v>
      </c>
      <c r="C28" s="17">
        <v>67400</v>
      </c>
      <c r="D28" s="18">
        <v>10880</v>
      </c>
      <c r="E28" s="18">
        <v>-1490</v>
      </c>
      <c r="F28" s="18">
        <v>-524</v>
      </c>
      <c r="G28" s="18">
        <v>-194</v>
      </c>
      <c r="H28" s="18">
        <v>0</v>
      </c>
      <c r="I28" s="18">
        <f>F28+G28+H28</f>
        <v>-718</v>
      </c>
      <c r="J28" s="18">
        <f>E28+F28+D28</f>
        <v>8866</v>
      </c>
      <c r="K28" s="18">
        <f>AVERAGE(J25:J28)</f>
        <v>12970.25</v>
      </c>
      <c r="L28" s="18"/>
      <c r="M28" s="18">
        <f>-(G28+H28)+M27</f>
        <v>51248</v>
      </c>
      <c r="N28" s="18"/>
      <c r="O28" s="18">
        <f>1+O27</f>
        <v>25</v>
      </c>
    </row>
    <row r="29" ht="20.05" customHeight="1">
      <c r="B29" s="29"/>
      <c r="C29" s="17">
        <v>58500</v>
      </c>
      <c r="D29" s="18">
        <v>7920</v>
      </c>
      <c r="E29" s="18">
        <v>590</v>
      </c>
      <c r="F29" s="18">
        <f>-1068-F28</f>
        <v>-544</v>
      </c>
      <c r="G29" s="18">
        <v>-1950</v>
      </c>
      <c r="H29" s="18">
        <v>-4447</v>
      </c>
      <c r="I29" s="18">
        <f>F29+G29+H29</f>
        <v>-6941</v>
      </c>
      <c r="J29" s="18">
        <f>E29+F29+D29</f>
        <v>7966</v>
      </c>
      <c r="K29" s="18">
        <f>AVERAGE(J26:J29)</f>
        <v>9683.75</v>
      </c>
      <c r="L29" s="18"/>
      <c r="M29" s="18">
        <f>-(G29+H29)+M28</f>
        <v>57645</v>
      </c>
      <c r="N29" s="18"/>
      <c r="O29" s="18">
        <f>1+O28</f>
        <v>26</v>
      </c>
    </row>
    <row r="30" ht="20.05" customHeight="1">
      <c r="B30" s="29"/>
      <c r="C30" s="17">
        <f>192016-SUM(C28:C29)</f>
        <v>66116</v>
      </c>
      <c r="D30" s="18">
        <f>29563-SUM(D28:D29)</f>
        <v>10763</v>
      </c>
      <c r="E30" s="18">
        <f>-4226-SUM(E28:E29)</f>
        <v>-3326</v>
      </c>
      <c r="F30" s="18">
        <f>-1560-SUM(F28:F29)</f>
        <v>-492</v>
      </c>
      <c r="G30" s="18">
        <v>-4249</v>
      </c>
      <c r="H30" s="18">
        <v>-102</v>
      </c>
      <c r="I30" s="18">
        <f>F30+G30+H30</f>
        <v>-4843</v>
      </c>
      <c r="J30" s="18">
        <f>E30+F30+D30</f>
        <v>6945</v>
      </c>
      <c r="K30" s="18">
        <f>AVERAGE(J27:J30)</f>
        <v>8076.75</v>
      </c>
      <c r="L30" s="18"/>
      <c r="M30" s="18">
        <f>-(G30+H30)+M29</f>
        <v>61996</v>
      </c>
      <c r="N30" s="18"/>
      <c r="O30" s="18">
        <f>1+O29</f>
        <v>27</v>
      </c>
    </row>
    <row r="31" ht="20.05" customHeight="1">
      <c r="B31" s="29"/>
      <c r="C31" s="17">
        <f>270117-C30-C29-C28</f>
        <v>78101</v>
      </c>
      <c r="D31" s="18">
        <f>38252-D30-D29-D28</f>
        <v>8689</v>
      </c>
      <c r="E31" s="18">
        <f>-3905-E30-E29-E28</f>
        <v>321</v>
      </c>
      <c r="F31" s="18">
        <f>-2024-F30-F29-F28</f>
        <v>-464</v>
      </c>
      <c r="G31" s="18">
        <f>-63370-37247+60633+31424-G30-G29-G28</f>
        <v>-2167</v>
      </c>
      <c r="H31" s="18">
        <f>-5340-1779+524-H30-H29-H28</f>
        <v>-2046</v>
      </c>
      <c r="I31" s="18">
        <f>-18200-I30-I29-I28</f>
        <v>-5698</v>
      </c>
      <c r="J31" s="18">
        <f>E31+F31+D31</f>
        <v>8546</v>
      </c>
      <c r="K31" s="18">
        <f>AVERAGE(J28:J31)</f>
        <v>8080.75</v>
      </c>
      <c r="L31" s="18"/>
      <c r="M31" s="18">
        <f>-(G31+H31)+M30</f>
        <v>66209</v>
      </c>
      <c r="N31" s="18"/>
      <c r="O31" s="18">
        <f>1+O30</f>
        <v>28</v>
      </c>
    </row>
    <row r="32" ht="20.05" customHeight="1">
      <c r="B32" s="30">
        <v>2022</v>
      </c>
      <c r="C32" s="17">
        <v>87799</v>
      </c>
      <c r="D32" s="18">
        <v>9524</v>
      </c>
      <c r="E32" s="18">
        <v>-3329</v>
      </c>
      <c r="F32" s="18">
        <v>-421</v>
      </c>
      <c r="G32" s="18">
        <f>I32-H32-F32</f>
        <v>-2509</v>
      </c>
      <c r="H32" s="18">
        <f>-58-37+28</f>
        <v>-67</v>
      </c>
      <c r="I32" s="18">
        <v>-2997</v>
      </c>
      <c r="J32" s="18">
        <f>E32+F32+D32</f>
        <v>5774</v>
      </c>
      <c r="K32" s="18">
        <f>AVERAGE(J29:J32)</f>
        <v>7307.75</v>
      </c>
      <c r="L32" s="18">
        <f>K32</f>
        <v>7307.75</v>
      </c>
      <c r="M32" s="18">
        <f>-(G32+H32)+M31</f>
        <v>68785</v>
      </c>
      <c r="N32" s="18">
        <f>M32</f>
        <v>68785</v>
      </c>
      <c r="O32" s="18">
        <f>1+O31</f>
        <v>29</v>
      </c>
    </row>
    <row r="33" ht="20.05" customHeight="1">
      <c r="B33" s="29"/>
      <c r="C33" s="17"/>
      <c r="D33" s="18"/>
      <c r="E33" s="18"/>
      <c r="F33" s="18"/>
      <c r="G33" s="18"/>
      <c r="H33" s="18"/>
      <c r="I33" s="18"/>
      <c r="J33" s="18"/>
      <c r="K33" s="21"/>
      <c r="L33" s="18">
        <f>SUM('Model'!F9:F10)</f>
        <v>12507.4320560857</v>
      </c>
      <c r="M33" s="21"/>
      <c r="N33" s="18">
        <f>SUM('Model'!F33)</f>
        <v>116976.033887277</v>
      </c>
      <c r="O33" s="18"/>
    </row>
    <row r="34" ht="20.05" customHeight="1">
      <c r="B34" s="29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</sheetData>
  <mergeCells count="1">
    <mergeCell ref="B2:O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34" customWidth="1"/>
    <col min="2" max="2" width="7.53906" style="34" customWidth="1"/>
    <col min="3" max="11" width="9.98438" style="34" customWidth="1"/>
    <col min="12" max="16384" width="16.3516" style="34" customWidth="1"/>
  </cols>
  <sheetData>
    <row r="1" ht="35.7" customHeight="1"/>
    <row r="2" ht="27.65" customHeight="1">
      <c r="B2" t="s" s="2">
        <v>22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52</v>
      </c>
      <c r="D3" t="s" s="5">
        <v>53</v>
      </c>
      <c r="E3" t="s" s="5">
        <v>54</v>
      </c>
      <c r="F3" t="s" s="5">
        <v>24</v>
      </c>
      <c r="G3" t="s" s="5">
        <v>11</v>
      </c>
      <c r="H3" t="s" s="5">
        <v>26</v>
      </c>
      <c r="I3" t="s" s="5">
        <v>27</v>
      </c>
      <c r="J3" t="s" s="5">
        <v>55</v>
      </c>
      <c r="K3" t="s" s="5">
        <v>35</v>
      </c>
    </row>
    <row r="4" ht="20.25" customHeight="1">
      <c r="B4" s="24">
        <v>2015</v>
      </c>
      <c r="C4" s="33">
        <v>24000</v>
      </c>
      <c r="D4" s="26">
        <v>244000</v>
      </c>
      <c r="E4" s="26">
        <f>D4-C4</f>
        <v>220000</v>
      </c>
      <c r="F4" s="26">
        <v>38450</v>
      </c>
      <c r="G4" s="26">
        <v>118000</v>
      </c>
      <c r="H4" s="26">
        <v>126000</v>
      </c>
      <c r="I4" s="26">
        <f>G4+H4-C4-E4</f>
        <v>0</v>
      </c>
      <c r="J4" s="26">
        <f>C4-G4</f>
        <v>-94000</v>
      </c>
      <c r="K4" s="26"/>
    </row>
    <row r="5" ht="20.05" customHeight="1">
      <c r="B5" s="29"/>
      <c r="C5" s="17">
        <v>20000</v>
      </c>
      <c r="D5" s="18">
        <v>243000</v>
      </c>
      <c r="E5" s="18">
        <f>D5-C5</f>
        <v>223000</v>
      </c>
      <c r="F5" s="18">
        <v>39930</v>
      </c>
      <c r="G5" s="18">
        <v>119000</v>
      </c>
      <c r="H5" s="18">
        <v>124000</v>
      </c>
      <c r="I5" s="18">
        <f>G5+H5-C5-E5</f>
        <v>0</v>
      </c>
      <c r="J5" s="18">
        <f>C5-G5</f>
        <v>-99000</v>
      </c>
      <c r="K5" s="18"/>
    </row>
    <row r="6" ht="20.05" customHeight="1">
      <c r="B6" s="29"/>
      <c r="C6" s="17">
        <v>25000</v>
      </c>
      <c r="D6" s="18">
        <v>256000</v>
      </c>
      <c r="E6" s="18">
        <f>D6-C6</f>
        <v>231000</v>
      </c>
      <c r="F6" s="18">
        <v>41350</v>
      </c>
      <c r="G6" s="18">
        <v>129000</v>
      </c>
      <c r="H6" s="18">
        <v>127000</v>
      </c>
      <c r="I6" s="18">
        <f>G6+H6-C6-E6</f>
        <v>0</v>
      </c>
      <c r="J6" s="18">
        <f>C6-G6</f>
        <v>-104000</v>
      </c>
      <c r="K6" s="18"/>
    </row>
    <row r="7" ht="20.05" customHeight="1">
      <c r="B7" s="29"/>
      <c r="C7" s="17">
        <v>27000</v>
      </c>
      <c r="D7" s="18">
        <v>245000</v>
      </c>
      <c r="E7" s="18">
        <f>D7-C7</f>
        <v>218000</v>
      </c>
      <c r="F7" s="18">
        <v>42450</v>
      </c>
      <c r="G7" s="18">
        <v>119000</v>
      </c>
      <c r="H7" s="18">
        <v>126000</v>
      </c>
      <c r="I7" s="18">
        <f>G7+H7-C7-E7</f>
        <v>0</v>
      </c>
      <c r="J7" s="18">
        <f>C7-G7</f>
        <v>-92000</v>
      </c>
      <c r="K7" s="18"/>
    </row>
    <row r="8" ht="20.05" customHeight="1">
      <c r="B8" s="30">
        <v>2016</v>
      </c>
      <c r="C8" s="17">
        <v>27000</v>
      </c>
      <c r="D8" s="18">
        <v>245000</v>
      </c>
      <c r="E8" s="18">
        <f>D8-C8</f>
        <v>218000</v>
      </c>
      <c r="F8" s="18">
        <v>43810</v>
      </c>
      <c r="G8" s="18">
        <v>115000</v>
      </c>
      <c r="H8" s="18">
        <v>130000</v>
      </c>
      <c r="I8" s="18">
        <f>G8+H8-C8-E8</f>
        <v>0</v>
      </c>
      <c r="J8" s="18">
        <f>C8-G8</f>
        <v>-88000</v>
      </c>
      <c r="K8" s="18"/>
    </row>
    <row r="9" ht="20.05" customHeight="1">
      <c r="B9" s="29"/>
      <c r="C9" s="17">
        <v>29000</v>
      </c>
      <c r="D9" s="18">
        <v>250000</v>
      </c>
      <c r="E9" s="18">
        <f>D9-C9</f>
        <v>221000</v>
      </c>
      <c r="F9" s="18">
        <v>44560</v>
      </c>
      <c r="G9" s="18">
        <v>120000</v>
      </c>
      <c r="H9" s="18">
        <v>130000</v>
      </c>
      <c r="I9" s="18">
        <f>G9+H9-C9-E9</f>
        <v>0</v>
      </c>
      <c r="J9" s="18">
        <f>C9-G9</f>
        <v>-91000</v>
      </c>
      <c r="K9" s="18"/>
    </row>
    <row r="10" ht="20.05" customHeight="1">
      <c r="B10" s="29"/>
      <c r="C10" s="17">
        <v>27000</v>
      </c>
      <c r="D10" s="18">
        <v>250000</v>
      </c>
      <c r="E10" s="18">
        <f>D10-C10</f>
        <v>223000</v>
      </c>
      <c r="F10" s="18">
        <v>45600</v>
      </c>
      <c r="G10" s="18">
        <v>118000</v>
      </c>
      <c r="H10" s="18">
        <v>132000</v>
      </c>
      <c r="I10" s="18">
        <f>G10+H10-C10-E10</f>
        <v>0</v>
      </c>
      <c r="J10" s="18">
        <f>C10-G10</f>
        <v>-91000</v>
      </c>
      <c r="K10" s="18"/>
    </row>
    <row r="11" ht="20.05" customHeight="1">
      <c r="B11" s="29"/>
      <c r="C11" s="17">
        <v>29000</v>
      </c>
      <c r="D11" s="18">
        <v>262000</v>
      </c>
      <c r="E11" s="18">
        <f>D11-C11</f>
        <v>233000</v>
      </c>
      <c r="F11" s="18">
        <v>46620</v>
      </c>
      <c r="G11" s="18">
        <v>122000</v>
      </c>
      <c r="H11" s="18">
        <v>140000</v>
      </c>
      <c r="I11" s="18">
        <f>G11+H11-C11-E11</f>
        <v>0</v>
      </c>
      <c r="J11" s="18">
        <f>C11-G11</f>
        <v>-93000</v>
      </c>
      <c r="K11" s="18"/>
    </row>
    <row r="12" ht="20.05" customHeight="1">
      <c r="B12" s="30">
        <v>2017</v>
      </c>
      <c r="C12" s="17">
        <v>31000</v>
      </c>
      <c r="D12" s="18">
        <v>280000</v>
      </c>
      <c r="E12" s="18">
        <f>D12-C12</f>
        <v>249000</v>
      </c>
      <c r="F12" s="18">
        <v>48030</v>
      </c>
      <c r="G12" s="18">
        <v>134000</v>
      </c>
      <c r="H12" s="18">
        <v>146000</v>
      </c>
      <c r="I12" s="18">
        <f>G12+H12-C12-E12</f>
        <v>0</v>
      </c>
      <c r="J12" s="18">
        <f>C12-G12</f>
        <v>-103000</v>
      </c>
      <c r="K12" s="18"/>
    </row>
    <row r="13" ht="20.05" customHeight="1">
      <c r="B13" s="29"/>
      <c r="C13" s="17">
        <v>32000</v>
      </c>
      <c r="D13" s="18">
        <v>287000</v>
      </c>
      <c r="E13" s="18">
        <f>D13-C13</f>
        <v>255000</v>
      </c>
      <c r="F13" s="18">
        <v>49460</v>
      </c>
      <c r="G13" s="18">
        <v>141000</v>
      </c>
      <c r="H13" s="18">
        <v>146000</v>
      </c>
      <c r="I13" s="18">
        <f>G13+H13-C13-E13</f>
        <v>0</v>
      </c>
      <c r="J13" s="18">
        <f>C13-G13</f>
        <v>-109000</v>
      </c>
      <c r="K13" s="18"/>
    </row>
    <row r="14" ht="20.05" customHeight="1">
      <c r="B14" s="29"/>
      <c r="C14" s="17">
        <v>29000</v>
      </c>
      <c r="D14" s="18">
        <v>291000</v>
      </c>
      <c r="E14" s="18">
        <f>D14-C14</f>
        <v>262000</v>
      </c>
      <c r="F14" s="18">
        <v>50820</v>
      </c>
      <c r="G14" s="18">
        <v>142000</v>
      </c>
      <c r="H14" s="18">
        <v>149000</v>
      </c>
      <c r="I14" s="18">
        <f>G14+H14-C14-E14</f>
        <v>0</v>
      </c>
      <c r="J14" s="18">
        <f>C14-G14</f>
        <v>-113000</v>
      </c>
      <c r="K14" s="18"/>
    </row>
    <row r="15" ht="20.05" customHeight="1">
      <c r="B15" s="29"/>
      <c r="C15" s="17">
        <v>32000</v>
      </c>
      <c r="D15" s="18">
        <v>296000</v>
      </c>
      <c r="E15" s="18">
        <f>D15-C15</f>
        <v>264000</v>
      </c>
      <c r="F15" s="18">
        <v>52250</v>
      </c>
      <c r="G15" s="18">
        <v>140000</v>
      </c>
      <c r="H15" s="18">
        <v>156000</v>
      </c>
      <c r="I15" s="18">
        <f>G15+H15-C15-E15</f>
        <v>0</v>
      </c>
      <c r="J15" s="18">
        <f>C15-G15</f>
        <v>-108000</v>
      </c>
      <c r="K15" s="18"/>
    </row>
    <row r="16" ht="20.05" customHeight="1">
      <c r="B16" s="30">
        <v>2018</v>
      </c>
      <c r="C16" s="17">
        <v>32000</v>
      </c>
      <c r="D16" s="18">
        <v>306000</v>
      </c>
      <c r="E16" s="18">
        <f>D16-C16</f>
        <v>274000</v>
      </c>
      <c r="F16" s="18">
        <v>53180</v>
      </c>
      <c r="G16" s="18">
        <v>143000</v>
      </c>
      <c r="H16" s="18">
        <v>163000</v>
      </c>
      <c r="I16" s="18">
        <f>G16+H16-C16-E16</f>
        <v>0</v>
      </c>
      <c r="J16" s="18">
        <f>C16-G16</f>
        <v>-111000</v>
      </c>
      <c r="K16" s="18"/>
    </row>
    <row r="17" ht="20.05" customHeight="1">
      <c r="B17" s="29"/>
      <c r="C17" s="17">
        <v>26000</v>
      </c>
      <c r="D17" s="18">
        <v>309000</v>
      </c>
      <c r="E17" s="18">
        <f>D17-C17</f>
        <v>283000</v>
      </c>
      <c r="F17" s="18">
        <v>55210</v>
      </c>
      <c r="G17" s="18">
        <v>147000</v>
      </c>
      <c r="H17" s="18">
        <v>162000</v>
      </c>
      <c r="I17" s="18">
        <f>G17+H17-C17-E17</f>
        <v>0</v>
      </c>
      <c r="J17" s="18">
        <f>C17-G17</f>
        <v>-121000</v>
      </c>
      <c r="K17" s="18"/>
    </row>
    <row r="18" ht="20.05" customHeight="1">
      <c r="B18" s="29"/>
      <c r="C18" s="17">
        <v>37000</v>
      </c>
      <c r="D18" s="18">
        <v>333000</v>
      </c>
      <c r="E18" s="18">
        <f>D18-C18</f>
        <v>296000</v>
      </c>
      <c r="F18" s="18">
        <v>56860</v>
      </c>
      <c r="G18" s="18">
        <v>165000</v>
      </c>
      <c r="H18" s="18">
        <v>168000</v>
      </c>
      <c r="I18" s="18">
        <f>G18+H18-C18-E18</f>
        <v>0</v>
      </c>
      <c r="J18" s="18">
        <f>C18-G18</f>
        <v>-128000</v>
      </c>
      <c r="K18" s="18"/>
    </row>
    <row r="19" ht="20.05" customHeight="1">
      <c r="B19" s="29"/>
      <c r="C19" s="17">
        <v>25000</v>
      </c>
      <c r="D19" s="18">
        <v>345000</v>
      </c>
      <c r="E19" s="18">
        <f>D19-C19</f>
        <v>320000</v>
      </c>
      <c r="F19" s="18">
        <v>61080</v>
      </c>
      <c r="G19" s="18">
        <v>171000</v>
      </c>
      <c r="H19" s="18">
        <v>174000</v>
      </c>
      <c r="I19" s="18">
        <f>G19+H19-C19-E19</f>
        <v>0</v>
      </c>
      <c r="J19" s="18">
        <f>C19-G19</f>
        <v>-146000</v>
      </c>
      <c r="K19" s="18"/>
    </row>
    <row r="20" ht="20.05" customHeight="1">
      <c r="B20" s="30">
        <v>2019</v>
      </c>
      <c r="C20" s="17">
        <v>30000</v>
      </c>
      <c r="D20" s="18">
        <v>357000</v>
      </c>
      <c r="E20" s="18">
        <f>D20-C20</f>
        <v>327000</v>
      </c>
      <c r="F20" s="18">
        <v>62930</v>
      </c>
      <c r="G20" s="18">
        <v>176000</v>
      </c>
      <c r="H20" s="18">
        <v>181000</v>
      </c>
      <c r="I20" s="18">
        <f>G20+H20-C20-E20</f>
        <v>0</v>
      </c>
      <c r="J20" s="18">
        <f>C20-G20</f>
        <v>-146000</v>
      </c>
      <c r="K20" s="18"/>
    </row>
    <row r="21" ht="20.05" customHeight="1">
      <c r="B21" s="29"/>
      <c r="C21" s="17">
        <v>22000</v>
      </c>
      <c r="D21" s="18">
        <v>350000</v>
      </c>
      <c r="E21" s="18">
        <f>D21-C21</f>
        <v>328000</v>
      </c>
      <c r="F21" s="18">
        <v>65000</v>
      </c>
      <c r="G21" s="18">
        <v>173000</v>
      </c>
      <c r="H21" s="18">
        <v>177000</v>
      </c>
      <c r="I21" s="18">
        <f>G21+H21-C21-E21</f>
        <v>0</v>
      </c>
      <c r="J21" s="18">
        <f>C21-G21</f>
        <v>-151000</v>
      </c>
      <c r="K21" s="18"/>
    </row>
    <row r="22" ht="20.05" customHeight="1">
      <c r="B22" s="29"/>
      <c r="C22" s="17">
        <v>26000</v>
      </c>
      <c r="D22" s="18">
        <v>358000</v>
      </c>
      <c r="E22" s="18">
        <f>D22-C22</f>
        <v>332000</v>
      </c>
      <c r="F22" s="18">
        <v>67500</v>
      </c>
      <c r="G22" s="18">
        <v>177000</v>
      </c>
      <c r="H22" s="18">
        <v>181000</v>
      </c>
      <c r="I22" s="18">
        <f>G22+H22-C22-E22</f>
        <v>0</v>
      </c>
      <c r="J22" s="18">
        <f>C22-G22</f>
        <v>-151000</v>
      </c>
      <c r="K22" s="18"/>
    </row>
    <row r="23" ht="20.05" customHeight="1">
      <c r="B23" s="29"/>
      <c r="C23" s="17">
        <v>24000</v>
      </c>
      <c r="D23" s="18">
        <v>352000</v>
      </c>
      <c r="E23" s="18">
        <f>D23-C23</f>
        <v>328000</v>
      </c>
      <c r="F23" s="18">
        <v>77200</v>
      </c>
      <c r="G23" s="18">
        <v>165000</v>
      </c>
      <c r="H23" s="18">
        <v>187000</v>
      </c>
      <c r="I23" s="18">
        <f>G23+H23-C23-E23</f>
        <v>0</v>
      </c>
      <c r="J23" s="18">
        <f>C23-G23</f>
        <v>-141000</v>
      </c>
      <c r="K23" s="18"/>
    </row>
    <row r="24" ht="20.05" customHeight="1">
      <c r="B24" s="30">
        <v>2020</v>
      </c>
      <c r="C24" s="17">
        <v>29300</v>
      </c>
      <c r="D24" s="18">
        <v>366800</v>
      </c>
      <c r="E24" s="18">
        <f>D24-C24</f>
        <v>337500</v>
      </c>
      <c r="F24" s="18">
        <v>81900</v>
      </c>
      <c r="G24" s="18">
        <v>170900</v>
      </c>
      <c r="H24" s="18">
        <v>195900</v>
      </c>
      <c r="I24" s="18">
        <f>G24+H24-C24-E24</f>
        <v>0</v>
      </c>
      <c r="J24" s="18">
        <f>C24-G24</f>
        <v>-141600</v>
      </c>
      <c r="K24" s="18"/>
    </row>
    <row r="25" ht="20.05" customHeight="1">
      <c r="B25" s="29"/>
      <c r="C25" s="17">
        <v>42124</v>
      </c>
      <c r="D25" s="18">
        <v>343674</v>
      </c>
      <c r="E25" s="18">
        <f>D25-C25</f>
        <v>301550</v>
      </c>
      <c r="F25" s="18">
        <v>83801</v>
      </c>
      <c r="G25" s="18">
        <v>152017</v>
      </c>
      <c r="H25" s="18">
        <v>191657</v>
      </c>
      <c r="I25" s="18">
        <f>G25+H25-C25-E25</f>
        <v>0</v>
      </c>
      <c r="J25" s="18">
        <f>C25-G25</f>
        <v>-109893</v>
      </c>
      <c r="K25" s="18"/>
    </row>
    <row r="26" ht="20.05" customHeight="1">
      <c r="B26" s="29"/>
      <c r="C26" s="17">
        <v>46968</v>
      </c>
      <c r="D26" s="18">
        <v>341264</v>
      </c>
      <c r="E26" s="18">
        <f>D26-C26</f>
        <v>294296</v>
      </c>
      <c r="F26" s="18">
        <v>3653801</v>
      </c>
      <c r="G26" s="18">
        <v>146239</v>
      </c>
      <c r="H26" s="18">
        <v>195025</v>
      </c>
      <c r="I26" s="18">
        <f>G26+H26-C26-E26</f>
        <v>0</v>
      </c>
      <c r="J26" s="18">
        <f>C26-G26</f>
        <v>-99271</v>
      </c>
      <c r="K26" s="18"/>
    </row>
    <row r="27" ht="20.05" customHeight="1">
      <c r="B27" s="29"/>
      <c r="C27" s="17">
        <v>47600</v>
      </c>
      <c r="D27" s="18">
        <v>338200</v>
      </c>
      <c r="E27" s="18">
        <f>D27-C27</f>
        <v>290600</v>
      </c>
      <c r="F27" s="18">
        <v>7803801</v>
      </c>
      <c r="G27" s="18">
        <v>142700</v>
      </c>
      <c r="H27" s="18">
        <v>195500</v>
      </c>
      <c r="I27" s="18">
        <f>G27+H27-C27-E27</f>
        <v>0</v>
      </c>
      <c r="J27" s="18">
        <f>C27-G27</f>
        <v>-95100</v>
      </c>
      <c r="K27" s="18"/>
    </row>
    <row r="28" ht="20.05" customHeight="1">
      <c r="B28" s="30">
        <v>2021</v>
      </c>
      <c r="C28" s="17">
        <v>56575</v>
      </c>
      <c r="D28" s="18">
        <v>351978</v>
      </c>
      <c r="E28" s="18">
        <f>D28-C28</f>
        <v>295403</v>
      </c>
      <c r="F28" s="18">
        <v>11401801</v>
      </c>
      <c r="G28" s="18">
        <v>149644</v>
      </c>
      <c r="H28" s="18">
        <v>202334</v>
      </c>
      <c r="I28" s="18">
        <f>G28+H28-C28-E28</f>
        <v>0</v>
      </c>
      <c r="J28" s="18">
        <f>C28-G28</f>
        <v>-93069</v>
      </c>
      <c r="K28" s="18"/>
    </row>
    <row r="29" ht="20.05" customHeight="1">
      <c r="B29" s="29"/>
      <c r="C29" s="17">
        <v>58000</v>
      </c>
      <c r="D29" s="18">
        <v>354000</v>
      </c>
      <c r="E29" s="18">
        <f>D29-C29</f>
        <v>296000</v>
      </c>
      <c r="F29" s="18">
        <v>93000</v>
      </c>
      <c r="G29" s="18">
        <v>150000</v>
      </c>
      <c r="H29" s="18">
        <v>204000</v>
      </c>
      <c r="I29" s="18">
        <f>G29+H29-C29-E29</f>
        <v>0</v>
      </c>
      <c r="J29" s="18">
        <f>C29-G29</f>
        <v>-92000</v>
      </c>
      <c r="K29" s="18"/>
    </row>
    <row r="30" ht="20.05" customHeight="1">
      <c r="B30" s="29"/>
      <c r="C30" s="17">
        <v>60538</v>
      </c>
      <c r="D30" s="18">
        <v>362219</v>
      </c>
      <c r="E30" s="18">
        <f>D30-C30</f>
        <v>301681</v>
      </c>
      <c r="F30" s="18">
        <f>3314+77489+13506+692</f>
        <v>95001</v>
      </c>
      <c r="G30" s="18">
        <v>152663</v>
      </c>
      <c r="H30" s="18">
        <v>209556</v>
      </c>
      <c r="I30" s="18">
        <f>G30+H30-C30-E30</f>
        <v>0</v>
      </c>
      <c r="J30" s="18">
        <f>C30-G30</f>
        <v>-92125</v>
      </c>
      <c r="K30" s="18"/>
    </row>
    <row r="31" ht="20.05" customHeight="1">
      <c r="B31" s="29"/>
      <c r="C31" s="17">
        <v>63947</v>
      </c>
      <c r="D31" s="18">
        <v>367311</v>
      </c>
      <c r="E31" s="18">
        <f>D31-C31</f>
        <v>303364</v>
      </c>
      <c r="F31" s="18">
        <f>3357+79203+13809+726</f>
        <v>97095</v>
      </c>
      <c r="G31" s="18">
        <v>151696</v>
      </c>
      <c r="H31" s="18">
        <f>D31-G31</f>
        <v>215615</v>
      </c>
      <c r="I31" s="18">
        <f>G31+H31-C31-E31</f>
        <v>0</v>
      </c>
      <c r="J31" s="18">
        <f>C31-G31</f>
        <v>-87749</v>
      </c>
      <c r="K31" s="18">
        <f>J31</f>
        <v>-87749</v>
      </c>
    </row>
    <row r="32" ht="20.05" customHeight="1">
      <c r="B32" s="30">
        <v>2022</v>
      </c>
      <c r="C32" s="17">
        <v>67255</v>
      </c>
      <c r="D32" s="18">
        <v>383183</v>
      </c>
      <c r="E32" s="18">
        <f>D32-C32</f>
        <v>315928</v>
      </c>
      <c r="F32" s="18">
        <f>3459+80773+14113+756</f>
        <v>99101</v>
      </c>
      <c r="G32" s="18">
        <v>157855</v>
      </c>
      <c r="H32" s="18">
        <v>225328</v>
      </c>
      <c r="I32" s="18">
        <f>G32+H32-C32-E32</f>
        <v>0</v>
      </c>
      <c r="J32" s="18">
        <f>C32-G32</f>
        <v>-90600</v>
      </c>
      <c r="K32" s="18">
        <f>J32</f>
        <v>-90600</v>
      </c>
    </row>
    <row r="33" ht="20.05" customHeight="1">
      <c r="B33" s="29"/>
      <c r="C33" s="17"/>
      <c r="D33" s="18"/>
      <c r="E33" s="18"/>
      <c r="F33" s="18"/>
      <c r="G33" s="18"/>
      <c r="H33" s="18"/>
      <c r="I33" s="18"/>
      <c r="J33" s="18"/>
      <c r="K33" s="18">
        <f>'Model'!F31</f>
        <v>-59333.379667634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3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.94531" style="35" customWidth="1"/>
    <col min="2" max="2" width="8.6875" style="35" customWidth="1"/>
    <col min="3" max="5" width="11.0547" style="35" customWidth="1"/>
    <col min="6" max="16384" width="16.3516" style="35" customWidth="1"/>
  </cols>
  <sheetData>
    <row r="1" ht="21.7" customHeight="1"/>
    <row r="2" ht="27.65" customHeight="1">
      <c r="B2" t="s" s="2">
        <v>56</v>
      </c>
      <c r="C2" s="2"/>
      <c r="D2" s="2"/>
      <c r="E2" s="2"/>
    </row>
    <row r="3" ht="20.25" customHeight="1">
      <c r="B3" s="4"/>
      <c r="C3" t="s" s="36">
        <v>57</v>
      </c>
      <c r="D3" t="s" s="36">
        <v>58</v>
      </c>
      <c r="E3" t="s" s="36">
        <v>59</v>
      </c>
    </row>
    <row r="4" ht="20.25" customHeight="1">
      <c r="B4" s="24">
        <v>2014</v>
      </c>
      <c r="C4" s="33">
        <v>7375</v>
      </c>
      <c r="D4" s="26"/>
      <c r="E4" s="26"/>
    </row>
    <row r="5" ht="20.05" customHeight="1">
      <c r="B5" s="29"/>
      <c r="C5" s="17">
        <v>7275</v>
      </c>
      <c r="D5" s="18"/>
      <c r="E5" s="18"/>
    </row>
    <row r="6" ht="20.05" customHeight="1">
      <c r="B6" s="29"/>
      <c r="C6" s="17">
        <v>7050</v>
      </c>
      <c r="D6" s="18"/>
      <c r="E6" s="18"/>
    </row>
    <row r="7" ht="20.05" customHeight="1">
      <c r="B7" s="29"/>
      <c r="C7" s="17">
        <v>7425</v>
      </c>
      <c r="D7" s="18"/>
      <c r="E7" s="18"/>
    </row>
    <row r="8" ht="20.05" customHeight="1">
      <c r="B8" s="30">
        <v>2015</v>
      </c>
      <c r="C8" s="17">
        <v>8575</v>
      </c>
      <c r="D8" s="18"/>
      <c r="E8" s="18"/>
    </row>
    <row r="9" ht="20.05" customHeight="1">
      <c r="B9" s="29"/>
      <c r="C9" s="17">
        <v>7075</v>
      </c>
      <c r="D9" s="18"/>
      <c r="E9" s="18"/>
    </row>
    <row r="10" ht="20.05" customHeight="1">
      <c r="B10" s="29"/>
      <c r="C10" s="17">
        <v>5225</v>
      </c>
      <c r="D10" s="18"/>
      <c r="E10" s="18"/>
    </row>
    <row r="11" ht="20.05" customHeight="1">
      <c r="B11" s="29"/>
      <c r="C11" s="17">
        <v>6000</v>
      </c>
      <c r="D11" s="18"/>
      <c r="E11" s="18"/>
    </row>
    <row r="12" ht="20.05" customHeight="1">
      <c r="B12" s="30">
        <v>2016</v>
      </c>
      <c r="C12" s="17">
        <v>7250</v>
      </c>
      <c r="D12" s="18"/>
      <c r="E12" s="18"/>
    </row>
    <row r="13" ht="20.05" customHeight="1">
      <c r="B13" s="29"/>
      <c r="C13" s="17">
        <v>7400</v>
      </c>
      <c r="D13" s="18"/>
      <c r="E13" s="18"/>
    </row>
    <row r="14" ht="20.05" customHeight="1">
      <c r="B14" s="29"/>
      <c r="C14" s="17">
        <v>8250</v>
      </c>
      <c r="D14" s="18"/>
      <c r="E14" s="18"/>
    </row>
    <row r="15" ht="20.05" customHeight="1">
      <c r="B15" s="29"/>
      <c r="C15" s="17">
        <v>8275</v>
      </c>
      <c r="D15" s="18"/>
      <c r="E15" s="18"/>
    </row>
    <row r="16" ht="20.05" customHeight="1">
      <c r="B16" s="30">
        <v>2017</v>
      </c>
      <c r="C16" s="17">
        <v>8625</v>
      </c>
      <c r="D16" s="18"/>
      <c r="E16" s="18"/>
    </row>
    <row r="17" ht="20.05" customHeight="1">
      <c r="B17" s="29"/>
      <c r="C17" s="17">
        <v>8925</v>
      </c>
      <c r="D17" s="18"/>
      <c r="E17" s="18"/>
    </row>
    <row r="18" ht="20.05" customHeight="1">
      <c r="B18" s="29"/>
      <c r="C18" s="17">
        <v>7900</v>
      </c>
      <c r="D18" s="18"/>
      <c r="E18" s="18"/>
    </row>
    <row r="19" ht="20.05" customHeight="1">
      <c r="B19" s="29"/>
      <c r="C19" s="17">
        <v>8300</v>
      </c>
      <c r="D19" s="18"/>
      <c r="E19" s="18"/>
    </row>
    <row r="20" ht="20.05" customHeight="1">
      <c r="B20" s="30">
        <v>2018</v>
      </c>
      <c r="C20" s="17">
        <v>7300</v>
      </c>
      <c r="D20" s="18"/>
      <c r="E20" s="18"/>
    </row>
    <row r="21" ht="20.05" customHeight="1">
      <c r="B21" s="29"/>
      <c r="C21" s="17">
        <v>6600</v>
      </c>
      <c r="D21" s="18"/>
      <c r="E21" s="18"/>
    </row>
    <row r="22" ht="20.05" customHeight="1">
      <c r="B22" s="29"/>
      <c r="C22" s="17">
        <v>7350</v>
      </c>
      <c r="D22" s="18"/>
      <c r="E22" s="18"/>
    </row>
    <row r="23" ht="20.05" customHeight="1">
      <c r="B23" s="29"/>
      <c r="C23" s="17">
        <v>8225</v>
      </c>
      <c r="D23" s="18"/>
      <c r="E23" s="18"/>
    </row>
    <row r="24" ht="20.05" customHeight="1">
      <c r="B24" s="30">
        <v>2019</v>
      </c>
      <c r="C24" s="17">
        <v>7325</v>
      </c>
      <c r="D24" s="18"/>
      <c r="E24" s="18"/>
    </row>
    <row r="25" ht="20.05" customHeight="1">
      <c r="B25" s="29"/>
      <c r="C25" s="17">
        <v>7450</v>
      </c>
      <c r="D25" s="18"/>
      <c r="E25" s="18"/>
    </row>
    <row r="26" ht="20.05" customHeight="1">
      <c r="B26" s="29"/>
      <c r="C26" s="17">
        <v>6600</v>
      </c>
      <c r="D26" s="18"/>
      <c r="E26" s="18"/>
    </row>
    <row r="27" ht="20.05" customHeight="1">
      <c r="B27" s="29"/>
      <c r="C27" s="17">
        <v>6668.35498</v>
      </c>
      <c r="D27" s="21"/>
      <c r="E27" s="21"/>
    </row>
    <row r="28" ht="20.05" customHeight="1">
      <c r="B28" s="30">
        <v>2020</v>
      </c>
      <c r="C28" s="17">
        <v>3755.463379</v>
      </c>
      <c r="D28" s="21"/>
      <c r="E28" s="21"/>
    </row>
    <row r="29" ht="20.05" customHeight="1">
      <c r="B29" s="29"/>
      <c r="C29" s="17">
        <v>4771.947754</v>
      </c>
      <c r="D29" s="21"/>
      <c r="E29" s="21"/>
    </row>
    <row r="30" ht="20.05" customHeight="1">
      <c r="B30" s="29"/>
      <c r="C30" s="17">
        <v>4433.935059</v>
      </c>
      <c r="D30" s="21"/>
      <c r="E30" s="18">
        <v>11220.5179282869</v>
      </c>
    </row>
    <row r="31" ht="20.05" customHeight="1">
      <c r="B31" s="29"/>
      <c r="C31" s="17">
        <v>6025</v>
      </c>
      <c r="D31" s="21"/>
      <c r="E31" s="18">
        <v>11608.7803064959</v>
      </c>
    </row>
    <row r="32" ht="20.05" customHeight="1">
      <c r="B32" s="30">
        <v>2021</v>
      </c>
      <c r="C32" s="17">
        <v>5275</v>
      </c>
      <c r="D32" s="21"/>
      <c r="E32" s="18">
        <v>16591.6914455627</v>
      </c>
    </row>
    <row r="33" ht="20.05" customHeight="1">
      <c r="B33" s="29"/>
      <c r="C33" s="17">
        <v>5025</v>
      </c>
      <c r="D33" s="21"/>
      <c r="E33" s="18">
        <v>19418.7685777905</v>
      </c>
    </row>
    <row r="34" ht="20.05" customHeight="1">
      <c r="B34" s="29"/>
      <c r="C34" s="17">
        <v>5450</v>
      </c>
      <c r="D34" s="21"/>
      <c r="E34" s="21"/>
    </row>
    <row r="35" ht="20.05" customHeight="1">
      <c r="B35" s="29"/>
      <c r="C35" s="17">
        <v>5700</v>
      </c>
      <c r="D35" s="18">
        <f>C35</f>
        <v>5700</v>
      </c>
      <c r="E35" s="21"/>
    </row>
    <row r="36" ht="20.05" customHeight="1">
      <c r="B36" s="30">
        <v>2022</v>
      </c>
      <c r="C36" s="17">
        <v>6575</v>
      </c>
      <c r="D36" s="18">
        <f>C36</f>
        <v>6575</v>
      </c>
      <c r="E36" s="21"/>
    </row>
    <row r="37" ht="20.05" customHeight="1">
      <c r="B37" s="29"/>
      <c r="C37" s="17">
        <v>7200</v>
      </c>
      <c r="D37" s="18">
        <f>C37</f>
        <v>7200</v>
      </c>
      <c r="E37" s="18">
        <v>10941.4528961196</v>
      </c>
    </row>
    <row r="38" ht="20.05" customHeight="1">
      <c r="B38" s="29"/>
      <c r="C38" s="17"/>
      <c r="D38" s="18">
        <f>'Model'!F44</f>
        <v>11903.8415230058</v>
      </c>
      <c r="E38" s="21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H24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8" width="10.1406" style="37" customWidth="1"/>
    <col min="9" max="16384" width="16.3516" style="37" customWidth="1"/>
  </cols>
  <sheetData>
    <row r="1" ht="27.65" customHeight="1">
      <c r="A1" t="s" s="2">
        <v>51</v>
      </c>
      <c r="B1" s="2"/>
      <c r="C1" s="2"/>
      <c r="D1" s="2"/>
      <c r="E1" s="2"/>
      <c r="F1" s="2"/>
      <c r="G1" s="2"/>
      <c r="H1" s="2"/>
    </row>
    <row r="2" ht="20.25" customHeight="1">
      <c r="A2" s="32"/>
      <c r="B2" t="s" s="5">
        <v>11</v>
      </c>
      <c r="C2" t="s" s="5">
        <v>26</v>
      </c>
      <c r="D2" t="s" s="5">
        <v>60</v>
      </c>
      <c r="E2" t="s" s="5">
        <v>11</v>
      </c>
      <c r="F2" t="s" s="5">
        <v>26</v>
      </c>
      <c r="G2" t="s" s="5">
        <v>60</v>
      </c>
      <c r="H2" s="4"/>
    </row>
    <row r="3" ht="20.25" customHeight="1">
      <c r="A3" s="24">
        <v>2001</v>
      </c>
      <c r="B3" s="33">
        <v>-2578</v>
      </c>
      <c r="C3" s="26">
        <v>-42</v>
      </c>
      <c r="D3" s="26">
        <f>B3+C3</f>
        <v>-2620</v>
      </c>
      <c r="E3" s="26">
        <f>B3</f>
        <v>-2578</v>
      </c>
      <c r="F3" s="26">
        <f>C3</f>
        <v>-42</v>
      </c>
      <c r="G3" s="26">
        <f>D3</f>
        <v>-2620</v>
      </c>
      <c r="H3" s="8"/>
    </row>
    <row r="4" ht="20.05" customHeight="1">
      <c r="A4" s="30">
        <v>2002</v>
      </c>
      <c r="B4" s="17">
        <v>-1481.9</v>
      </c>
      <c r="C4" s="18">
        <v>7</v>
      </c>
      <c r="D4" s="18">
        <f>B4+C4</f>
        <v>-1474.9</v>
      </c>
      <c r="E4" s="18">
        <f>B4+E3</f>
        <v>-4059.9</v>
      </c>
      <c r="F4" s="18">
        <f>C4+F3</f>
        <v>-35</v>
      </c>
      <c r="G4" s="18">
        <f>D4+G3</f>
        <v>-4094.9</v>
      </c>
      <c r="H4" s="21"/>
    </row>
    <row r="5" ht="20.05" customHeight="1">
      <c r="A5" s="30">
        <v>2003</v>
      </c>
      <c r="B5" s="17">
        <v>-3620</v>
      </c>
      <c r="C5" s="18">
        <v>364</v>
      </c>
      <c r="D5" s="18">
        <f>B5+C5</f>
        <v>-3256</v>
      </c>
      <c r="E5" s="18">
        <f>B5+E4</f>
        <v>-7679.9</v>
      </c>
      <c r="F5" s="18">
        <f>C5+F4</f>
        <v>329</v>
      </c>
      <c r="G5" s="18">
        <f>D5+G4</f>
        <v>-7350.9</v>
      </c>
      <c r="H5" s="21"/>
    </row>
    <row r="6" ht="20.05" customHeight="1">
      <c r="A6" s="30">
        <v>2004</v>
      </c>
      <c r="B6" s="17">
        <v>464</v>
      </c>
      <c r="C6" s="18">
        <v>-1150</v>
      </c>
      <c r="D6" s="18">
        <f>B6+C6</f>
        <v>-686</v>
      </c>
      <c r="E6" s="18">
        <f>B6+E5</f>
        <v>-7215.9</v>
      </c>
      <c r="F6" s="18">
        <f>C6+F5</f>
        <v>-821</v>
      </c>
      <c r="G6" s="18">
        <f>D6+G5</f>
        <v>-8036.9</v>
      </c>
      <c r="H6" s="21"/>
    </row>
    <row r="7" ht="20.05" customHeight="1">
      <c r="A7" s="30">
        <v>2005</v>
      </c>
      <c r="B7" s="17">
        <v>5675.3</v>
      </c>
      <c r="C7" s="18">
        <v>-1728</v>
      </c>
      <c r="D7" s="18">
        <f>B7+C7</f>
        <v>3947.3</v>
      </c>
      <c r="E7" s="18">
        <f>B7+E6</f>
        <v>-1540.6</v>
      </c>
      <c r="F7" s="18">
        <f>C7+F6</f>
        <v>-2549</v>
      </c>
      <c r="G7" s="18">
        <f>D7+G6</f>
        <v>-4089.6</v>
      </c>
      <c r="H7" s="21"/>
    </row>
    <row r="8" ht="20.05" customHeight="1">
      <c r="A8" s="30">
        <v>2006</v>
      </c>
      <c r="B8" s="17">
        <v>-2176</v>
      </c>
      <c r="C8" s="18">
        <v>-2422</v>
      </c>
      <c r="D8" s="18">
        <f>B8+C8</f>
        <v>-4598</v>
      </c>
      <c r="E8" s="18">
        <f>B8+E7</f>
        <v>-3716.6</v>
      </c>
      <c r="F8" s="18">
        <f>C8+F7</f>
        <v>-4971</v>
      </c>
      <c r="G8" s="18">
        <f>D8+G7</f>
        <v>-8687.6</v>
      </c>
      <c r="H8" s="21"/>
    </row>
    <row r="9" ht="20.05" customHeight="1">
      <c r="A9" s="30">
        <v>2007</v>
      </c>
      <c r="B9" s="17">
        <v>-4171</v>
      </c>
      <c r="C9" s="18">
        <v>-2266</v>
      </c>
      <c r="D9" s="18">
        <f>B9+C9</f>
        <v>-6437</v>
      </c>
      <c r="E9" s="18">
        <f>B9+E8</f>
        <v>-7887.6</v>
      </c>
      <c r="F9" s="18">
        <f>C9+F8</f>
        <v>-7237</v>
      </c>
      <c r="G9" s="18">
        <f>D9+G8</f>
        <v>-15124.6</v>
      </c>
      <c r="H9" s="21"/>
    </row>
    <row r="10" ht="20.05" customHeight="1">
      <c r="A10" s="30">
        <v>2008</v>
      </c>
      <c r="B10" s="17">
        <v>1799</v>
      </c>
      <c r="C10" s="18">
        <v>-2511</v>
      </c>
      <c r="D10" s="18">
        <f>B10+C10</f>
        <v>-712</v>
      </c>
      <c r="E10" s="18">
        <f>B10+E9</f>
        <v>-6088.6</v>
      </c>
      <c r="F10" s="18">
        <f>C10+F9</f>
        <v>-9748</v>
      </c>
      <c r="G10" s="18">
        <f>D10+G9</f>
        <v>-15836.6</v>
      </c>
      <c r="H10" s="21"/>
    </row>
    <row r="11" ht="20.05" customHeight="1">
      <c r="A11" s="30">
        <v>2009</v>
      </c>
      <c r="B11" s="17">
        <v>-1316</v>
      </c>
      <c r="C11" s="18">
        <v>-4181</v>
      </c>
      <c r="D11" s="18">
        <f>B11+C11</f>
        <v>-5497</v>
      </c>
      <c r="E11" s="18">
        <f>B11+E10</f>
        <v>-7404.6</v>
      </c>
      <c r="F11" s="18">
        <f>C11+F10</f>
        <v>-13929</v>
      </c>
      <c r="G11" s="18">
        <f>D11+G10</f>
        <v>-21333.6</v>
      </c>
      <c r="H11" s="21"/>
    </row>
    <row r="12" ht="20.05" customHeight="1">
      <c r="A12" s="30">
        <v>2010</v>
      </c>
      <c r="B12" s="17">
        <v>9172</v>
      </c>
      <c r="C12" s="18">
        <v>-6394</v>
      </c>
      <c r="D12" s="18">
        <f>B12+C12</f>
        <v>2778</v>
      </c>
      <c r="E12" s="18">
        <f>B12+E11</f>
        <v>1767.4</v>
      </c>
      <c r="F12" s="18">
        <f>C12+F11</f>
        <v>-20323</v>
      </c>
      <c r="G12" s="18">
        <f>D12+G11</f>
        <v>-18555.6</v>
      </c>
      <c r="H12" s="21"/>
    </row>
    <row r="13" ht="20.05" customHeight="1">
      <c r="A13" s="30">
        <v>2011</v>
      </c>
      <c r="B13" s="17">
        <v>11581</v>
      </c>
      <c r="C13" s="18">
        <v>-5537</v>
      </c>
      <c r="D13" s="18">
        <f>B13+C13</f>
        <v>6044</v>
      </c>
      <c r="E13" s="18">
        <f>B13+E12</f>
        <v>13348.4</v>
      </c>
      <c r="F13" s="18">
        <f>C13+F12</f>
        <v>-25860</v>
      </c>
      <c r="G13" s="18">
        <f>D13+G12</f>
        <v>-12511.6</v>
      </c>
      <c r="H13" s="21"/>
    </row>
    <row r="14" ht="20.05" customHeight="1">
      <c r="A14" s="30">
        <v>2012</v>
      </c>
      <c r="B14" s="17">
        <v>9164</v>
      </c>
      <c r="C14" s="18">
        <v>-10101</v>
      </c>
      <c r="D14" s="18">
        <f>B14+C14</f>
        <v>-937</v>
      </c>
      <c r="E14" s="18">
        <f>B14+E13</f>
        <v>22512.4</v>
      </c>
      <c r="F14" s="18">
        <f>C14+F13</f>
        <v>-35961</v>
      </c>
      <c r="G14" s="18">
        <f>D14+G13</f>
        <v>-13448.6</v>
      </c>
      <c r="H14" s="21"/>
    </row>
    <row r="15" ht="20.05" customHeight="1">
      <c r="A15" s="30">
        <v>2013</v>
      </c>
      <c r="B15" s="17">
        <v>2080</v>
      </c>
      <c r="C15" s="18">
        <v>-7640</v>
      </c>
      <c r="D15" s="18">
        <f>B15+C15</f>
        <v>-5560</v>
      </c>
      <c r="E15" s="18">
        <f>B15+E14</f>
        <v>24592.4</v>
      </c>
      <c r="F15" s="18">
        <f>C15+F14</f>
        <v>-43601</v>
      </c>
      <c r="G15" s="18">
        <f>D15+G14</f>
        <v>-19008.6</v>
      </c>
      <c r="H15" s="21"/>
    </row>
    <row r="16" ht="20.05" customHeight="1">
      <c r="A16" s="30">
        <v>2014</v>
      </c>
      <c r="B16" s="17">
        <v>4874</v>
      </c>
      <c r="C16" s="18">
        <v>-8007</v>
      </c>
      <c r="D16" s="18">
        <f>B16+C16</f>
        <v>-3133</v>
      </c>
      <c r="E16" s="18">
        <f>B16+E15</f>
        <v>29466.4</v>
      </c>
      <c r="F16" s="18">
        <f>C16+F15</f>
        <v>-51608</v>
      </c>
      <c r="G16" s="18">
        <f>D16+G15</f>
        <v>-22141.6</v>
      </c>
      <c r="H16" s="21"/>
    </row>
    <row r="17" ht="20.05" customHeight="1">
      <c r="A17" s="30">
        <v>2015</v>
      </c>
      <c r="B17" s="17">
        <v>-2120</v>
      </c>
      <c r="C17" s="18">
        <v>-10569</v>
      </c>
      <c r="D17" s="18">
        <f>B17+C17</f>
        <v>-12689</v>
      </c>
      <c r="E17" s="18">
        <f>B17+E16</f>
        <v>27346.4</v>
      </c>
      <c r="F17" s="18">
        <f>C17+F16</f>
        <v>-62177</v>
      </c>
      <c r="G17" s="18">
        <f>D17+G16</f>
        <v>-34830.6</v>
      </c>
      <c r="H17" s="21"/>
    </row>
    <row r="18" ht="20.05" customHeight="1">
      <c r="A18" s="30">
        <v>2016</v>
      </c>
      <c r="B18" s="17">
        <v>2685</v>
      </c>
      <c r="C18" s="18">
        <v>-6531</v>
      </c>
      <c r="D18" s="18">
        <f>B18+C18</f>
        <v>-3846</v>
      </c>
      <c r="E18" s="18">
        <f>B18+E17</f>
        <v>30031.4</v>
      </c>
      <c r="F18" s="18">
        <f>C18+F17</f>
        <v>-68708</v>
      </c>
      <c r="G18" s="18">
        <f>D18+G17</f>
        <v>-38676.6</v>
      </c>
      <c r="H18" s="21"/>
    </row>
    <row r="19" ht="20.05" customHeight="1">
      <c r="A19" s="30">
        <v>2017</v>
      </c>
      <c r="B19" s="17">
        <v>3372</v>
      </c>
      <c r="C19" s="18">
        <v>-7727</v>
      </c>
      <c r="D19" s="18">
        <f>B19+C19</f>
        <v>-4355</v>
      </c>
      <c r="E19" s="18">
        <f>B19+E18</f>
        <v>33403.4</v>
      </c>
      <c r="F19" s="18">
        <f>C19+F18</f>
        <v>-76435</v>
      </c>
      <c r="G19" s="18">
        <f>D19+G18</f>
        <v>-43031.6</v>
      </c>
      <c r="H19" s="21"/>
    </row>
    <row r="20" ht="20.05" customHeight="1">
      <c r="A20" s="30">
        <v>2018</v>
      </c>
      <c r="B20" s="17">
        <v>8900</v>
      </c>
      <c r="C20" s="18">
        <v>-12050</v>
      </c>
      <c r="D20" s="18">
        <f>B20+C20</f>
        <v>-3150</v>
      </c>
      <c r="E20" s="18">
        <f>B20+E19</f>
        <v>42303.4</v>
      </c>
      <c r="F20" s="18">
        <f>C20+F19</f>
        <v>-88485</v>
      </c>
      <c r="G20" s="18">
        <f>D20+G19</f>
        <v>-46181.6</v>
      </c>
      <c r="H20" s="21"/>
    </row>
    <row r="21" ht="20.05" customHeight="1">
      <c r="A21" s="30">
        <v>2019</v>
      </c>
      <c r="B21" s="17">
        <v>8597</v>
      </c>
      <c r="C21" s="18">
        <v>-10871</v>
      </c>
      <c r="D21" s="18">
        <f>B21+C21</f>
        <v>-2274</v>
      </c>
      <c r="E21" s="18">
        <f>B21+E20</f>
        <v>50900.4</v>
      </c>
      <c r="F21" s="18">
        <f>C21+F20</f>
        <v>-99356</v>
      </c>
      <c r="G21" s="18">
        <f>D21+G20</f>
        <v>-48455.6</v>
      </c>
      <c r="H21" s="38">
        <f>AVERAGE(D3:D23)</f>
        <v>-4207.171428571430</v>
      </c>
    </row>
    <row r="22" ht="20.05" customHeight="1">
      <c r="A22" s="30">
        <v>2020</v>
      </c>
      <c r="B22" s="17">
        <v>-15892</v>
      </c>
      <c r="C22" s="18">
        <v>-8848</v>
      </c>
      <c r="D22" s="18">
        <f>B22+C22</f>
        <v>-24740</v>
      </c>
      <c r="E22" s="18">
        <f>B22+E21</f>
        <v>35008.4</v>
      </c>
      <c r="F22" s="18">
        <f>C22+F21</f>
        <v>-108204</v>
      </c>
      <c r="G22" s="18">
        <f>D22+G21</f>
        <v>-73195.600000000006</v>
      </c>
      <c r="H22" s="38">
        <f>AVERAGE(D19:D23)</f>
        <v>-9934.799999999999</v>
      </c>
    </row>
    <row r="23" ht="20.05" customHeight="1">
      <c r="A23" s="30">
        <v>2021</v>
      </c>
      <c r="B23" s="17">
        <f>SUM('Cashflow'!G28:G31)</f>
        <v>-8560</v>
      </c>
      <c r="C23" s="18">
        <f>SUM('Cashflow'!H28:H31)</f>
        <v>-6595</v>
      </c>
      <c r="D23" s="18">
        <f>B23+C23</f>
        <v>-15155</v>
      </c>
      <c r="E23" s="18">
        <f>B23+E22</f>
        <v>26448.4</v>
      </c>
      <c r="F23" s="18">
        <f>C23+F22</f>
        <v>-114799</v>
      </c>
      <c r="G23" s="18">
        <f>D23+G22</f>
        <v>-88350.600000000006</v>
      </c>
      <c r="H23" s="38">
        <f>SUM('Cashflow'!G29:H32)</f>
        <v>-17537</v>
      </c>
    </row>
    <row r="24" ht="20.05" customHeight="1">
      <c r="A24" s="30">
        <v>2021</v>
      </c>
      <c r="B24" s="17">
        <f>'Cashflow'!G32</f>
        <v>-2509</v>
      </c>
      <c r="C24" s="18">
        <f>'Cashflow'!H32</f>
        <v>-67</v>
      </c>
      <c r="D24" s="18">
        <f>B24+C24</f>
        <v>-2576</v>
      </c>
      <c r="E24" s="18">
        <f>B24+E23</f>
        <v>23939.4</v>
      </c>
      <c r="F24" s="18">
        <f>C24+F23</f>
        <v>-114866</v>
      </c>
      <c r="G24" s="18">
        <f>D24+G23</f>
        <v>-90926.600000000006</v>
      </c>
      <c r="H24" s="21"/>
    </row>
  </sheetData>
  <mergeCells count="1">
    <mergeCell ref="A1:H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