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<sst xmlns="http://schemas.openxmlformats.org/spreadsheetml/2006/main" uniqueCount="58">
  <si>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</si>
  <si>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</si>
  <si>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</si>
  <si>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>Cashflow</t>
  </si>
  <si>
    <t xml:space="preserve">Growth </t>
  </si>
  <si>
    <t>Sales</t>
  </si>
  <si>
    <t xml:space="preserve">Cost ratio </t>
  </si>
  <si>
    <t>Cash costs</t>
  </si>
  <si>
    <t xml:space="preserve">Operating </t>
  </si>
  <si>
    <t xml:space="preserve">Investment </t>
  </si>
  <si>
    <t>Finance</t>
  </si>
  <si>
    <t xml:space="preserve">Payout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</si>
  <si>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</si>
  <si>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</si>
  <si>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</si>
  <si>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</si>
  <si>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</si>
  <si>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</si>
  <si>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>Profit</t>
  </si>
  <si>
    <t>Non cash</t>
  </si>
  <si>
    <t xml:space="preserve">Profit </t>
  </si>
  <si>
    <t xml:space="preserve">Balance sheet </t>
  </si>
  <si>
    <t>Other assets</t>
  </si>
  <si>
    <t xml:space="preserve">Depreciation </t>
  </si>
  <si>
    <t>Net other assets</t>
  </si>
  <si>
    <t xml:space="preserve">Liabilities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</si>
  <si>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</si>
  <si>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</si>
  <si>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</si>
  <si>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</si>
  <si>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</si>
  <si>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</si>
  <si>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</si>
  <si>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</si>
  <si>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</si>
  <si>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</si>
  <si>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</si>
  <si>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</si>
  <si>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</si>
  <si>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</si>
  <si>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Receipts</t>
  </si>
  <si>
    <t xml:space="preserve">Sales to assets </t>
  </si>
  <si>
    <t>Provisions</t>
  </si>
  <si>
    <t xml:space="preserve">Sales growth </t>
  </si>
  <si>
    <t>Cost ratio</t>
  </si>
  <si>
    <t>Operating before working capital</t>
  </si>
  <si>
    <t>Capex</t>
  </si>
  <si>
    <t>Lease</t>
  </si>
  <si>
    <t>Free cashflow</t>
  </si>
  <si>
    <t>Balance sheet</t>
  </si>
  <si>
    <t>Cash</t>
  </si>
  <si>
    <t>Assets</t>
  </si>
  <si>
    <t xml:space="preserve">Other asset growth </t>
  </si>
  <si>
    <t>Net cash</t>
  </si>
  <si>
    <t>Share price</t>
  </si>
  <si>
    <t>ARTO</t>
  </si>
  <si>
    <t xml:space="preserve">Target </t>
  </si>
  <si>
    <t xml:space="preserve">Previous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</si>
</sst>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#,##0.0"/>
    <numFmt numFmtId="61" formatCode="#,##0%_);[Red]\(#,##0%\)"/>
    <numFmt numFmtId="62" formatCode="0.0%"/>
    <numFmt numFmtId="63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12262"/>
          <c:y val="0.0426778"/>
          <c:w val="0.878418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53175"/>
          <c:y val="0.0628152"/>
          <c:w val="0.239788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454033</xdr:colOff>
      <xdr:row>2</xdr:row>
      <xdr:rowOff>83512</xdr:rowOff>
    </xdr:from>
    <xdr:to>
      <xdr:col>13</xdr:col>
      <xdr:colOff>14391</xdr:colOff>
      <xdr:row>45</xdr:row>
      <xdr:rowOff>66813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91133" y="944572"/>
          <a:ext cx="8272559" cy="109376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13</xdr:col>
      <xdr:colOff>132333</xdr:colOff>
      <xdr:row>38</xdr:row>
      <xdr:rowOff>32768</xdr:rowOff>
    </xdr:from>
    <xdr:to>
      <xdr:col>16</xdr:col>
      <xdr:colOff>366838</xdr:colOff>
      <xdr:row>51</xdr:row>
      <xdr:rowOff>234901</xdr:rowOff>
    </xdr:to>
    <xdr:graphicFrame>
      <xdr:nvGraphicFramePr>
        <xdr:cNvPr id="4" name="2D Line Chart"/>
        <xdr:cNvGraphicFramePr/>
      </xdr:nvGraphicFramePr>
      <xdr:xfrm>
        <a:off x="14483333" y="9762873"/>
        <a:ext cx="3968306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35156" style="1" customWidth="1"/>
    <col min="2" max="2" width="15.4531" style="1" customWidth="1"/>
    <col min="3" max="6" width="9.29688" style="1" customWidth="1"/>
    <col min="7" max="16384" width="16.3516" style="1" customWidth="1"/>
  </cols>
  <sheetData>
    <row r="1" ht="40.1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AVERAGE('Sales'!J13:J16)</f>
        <v>0.628960161734136</v>
      </c>
      <c r="D4" s="8"/>
      <c r="E4" s="8"/>
      <c r="F4" s="9">
        <f>AVERAGE(C5:F5)</f>
        <v>0.1775</v>
      </c>
    </row>
    <row r="5" ht="20.05" customHeight="1">
      <c r="B5" t="s" s="10">
        <v>4</v>
      </c>
      <c r="C5" s="11">
        <v>0.2</v>
      </c>
      <c r="D5" s="12">
        <v>0.17</v>
      </c>
      <c r="E5" s="12">
        <v>0.17</v>
      </c>
      <c r="F5" s="12">
        <v>0.17</v>
      </c>
    </row>
    <row r="6" ht="20.05" customHeight="1">
      <c r="B6" t="s" s="10">
        <v>5</v>
      </c>
      <c r="C6" s="13">
        <f>'Sales'!C16*(1+C5)</f>
        <v>416.4</v>
      </c>
      <c r="D6" s="14">
        <f>C6*(1+D5)</f>
        <v>487.188</v>
      </c>
      <c r="E6" s="14">
        <f>D6*(1+E5)</f>
        <v>570.00996</v>
      </c>
      <c r="F6" s="14">
        <f>E6*(1+F5)</f>
        <v>666.9116532</v>
      </c>
    </row>
    <row r="7" ht="20.05" customHeight="1">
      <c r="B7" t="s" s="10">
        <v>6</v>
      </c>
      <c r="C7" s="11">
        <f>'Sales'!L16</f>
        <v>-0.671653491915052</v>
      </c>
      <c r="D7" s="12">
        <f>C7</f>
        <v>-0.671653491915052</v>
      </c>
      <c r="E7" s="12">
        <f>D7</f>
        <v>-0.671653491915052</v>
      </c>
      <c r="F7" s="12">
        <f>E7</f>
        <v>-0.671653491915052</v>
      </c>
    </row>
    <row r="8" ht="20.05" customHeight="1">
      <c r="B8" t="s" s="10">
        <v>7</v>
      </c>
      <c r="C8" s="15">
        <f>C6*C7</f>
        <v>-279.676514033428</v>
      </c>
      <c r="D8" s="16">
        <f>C8</f>
        <v>-279.676514033428</v>
      </c>
      <c r="E8" s="16">
        <f>D8</f>
        <v>-279.676514033428</v>
      </c>
      <c r="F8" s="16">
        <f>E8</f>
        <v>-279.676514033428</v>
      </c>
    </row>
    <row r="9" ht="20.05" customHeight="1">
      <c r="B9" t="s" s="10">
        <v>8</v>
      </c>
      <c r="C9" s="15">
        <f>C6+C8</f>
        <v>136.723485966572</v>
      </c>
      <c r="D9" s="16">
        <f>D6+D8</f>
        <v>207.511485966572</v>
      </c>
      <c r="E9" s="16">
        <f>E6+E8</f>
        <v>290.333445966572</v>
      </c>
      <c r="F9" s="16">
        <f>F6+F8</f>
        <v>387.235139166572</v>
      </c>
    </row>
    <row r="10" ht="20.05" customHeight="1">
      <c r="B10" t="s" s="10">
        <v>9</v>
      </c>
      <c r="C10" s="15">
        <f>'Cashflow'!D16</f>
        <v>-2</v>
      </c>
      <c r="D10" s="16">
        <f>C10</f>
        <v>-2</v>
      </c>
      <c r="E10" s="16">
        <f>D10</f>
        <v>-2</v>
      </c>
      <c r="F10" s="16">
        <f>E10</f>
        <v>-2</v>
      </c>
    </row>
    <row r="11" ht="20.05" customHeight="1">
      <c r="B11" t="s" s="10">
        <v>10</v>
      </c>
      <c r="C11" s="15">
        <f>C13+C15</f>
        <v>-17.0170457899716</v>
      </c>
      <c r="D11" s="16">
        <f>D13+D15</f>
        <v>-38.2534457899716</v>
      </c>
      <c r="E11" s="16">
        <f>E13+E15</f>
        <v>-63.1000337899716</v>
      </c>
      <c r="F11" s="16">
        <f>F13+F15</f>
        <v>-92.1705417499716</v>
      </c>
    </row>
    <row r="12" ht="20.05" customHeight="1">
      <c r="B12" t="s" s="10">
        <v>11</v>
      </c>
      <c r="C12" s="17">
        <v>0.3</v>
      </c>
      <c r="D12" s="16"/>
      <c r="E12" s="16"/>
      <c r="F12" s="16"/>
    </row>
    <row r="13" ht="20.05" customHeight="1">
      <c r="B13" t="s" s="10">
        <v>12</v>
      </c>
      <c r="C13" s="15">
        <f>IF(C21&gt;0,-C21*$C$12,0)</f>
        <v>-17.0170457899716</v>
      </c>
      <c r="D13" s="16">
        <f>IF(D21&gt;0,-D21*$C$12,0)</f>
        <v>-38.2534457899716</v>
      </c>
      <c r="E13" s="16">
        <f>IF(E21&gt;0,-E21*$C$12,0)</f>
        <v>-63.1000337899716</v>
      </c>
      <c r="F13" s="16">
        <f>IF(F21&gt;0,-F21*$C$12,0)</f>
        <v>-92.1705417499716</v>
      </c>
    </row>
    <row r="14" ht="20.05" customHeight="1">
      <c r="B14" t="s" s="10">
        <v>13</v>
      </c>
      <c r="C14" s="15">
        <f>C9+C10+C13</f>
        <v>117.7064401766</v>
      </c>
      <c r="D14" s="16">
        <f>D9+D10+D13</f>
        <v>167.2580401766</v>
      </c>
      <c r="E14" s="16">
        <f>E9+E10+E13</f>
        <v>225.2334121766</v>
      </c>
      <c r="F14" s="16">
        <f>F9+F10+F13</f>
        <v>293.0645974166</v>
      </c>
    </row>
    <row r="15" ht="20.05" customHeight="1">
      <c r="B15" t="s" s="10">
        <v>14</v>
      </c>
      <c r="C15" s="15">
        <v>0</v>
      </c>
      <c r="D15" s="16">
        <f>-MIN(C15,D14)</f>
        <v>0</v>
      </c>
      <c r="E15" s="16">
        <f>-MIN(D15,E14)</f>
        <v>0</v>
      </c>
      <c r="F15" s="16">
        <f>-MIN(E15,F14)</f>
        <v>0</v>
      </c>
    </row>
    <row r="16" ht="20.05" customHeight="1">
      <c r="B16" t="s" s="10">
        <v>15</v>
      </c>
      <c r="C16" s="15">
        <f>'Balance sheet'!B15</f>
        <v>1709.6</v>
      </c>
      <c r="D16" s="16">
        <f>C18</f>
        <v>1827.3064401766</v>
      </c>
      <c r="E16" s="16">
        <f>D18</f>
        <v>1994.5644803532</v>
      </c>
      <c r="F16" s="16">
        <f>E18</f>
        <v>2219.7978925298</v>
      </c>
    </row>
    <row r="17" ht="20.05" customHeight="1">
      <c r="B17" t="s" s="10">
        <v>16</v>
      </c>
      <c r="C17" s="15">
        <f>C9+C10+C11</f>
        <v>117.7064401766</v>
      </c>
      <c r="D17" s="16">
        <f>D9+D10+D11</f>
        <v>167.2580401766</v>
      </c>
      <c r="E17" s="16">
        <f>E9+E10+E11</f>
        <v>225.2334121766</v>
      </c>
      <c r="F17" s="16">
        <f>F9+F10+F11</f>
        <v>293.0645974166</v>
      </c>
    </row>
    <row r="18" ht="20.05" customHeight="1">
      <c r="B18" t="s" s="10">
        <v>17</v>
      </c>
      <c r="C18" s="15">
        <f>C16+C17</f>
        <v>1827.3064401766</v>
      </c>
      <c r="D18" s="16">
        <f>D16+D17</f>
        <v>1994.5644803532</v>
      </c>
      <c r="E18" s="16">
        <f>E16+E17</f>
        <v>2219.7978925298</v>
      </c>
      <c r="F18" s="16">
        <f>F16+F17</f>
        <v>2512.8624899464</v>
      </c>
    </row>
    <row r="19" ht="20.05" customHeight="1">
      <c r="B19" t="s" s="18">
        <v>18</v>
      </c>
      <c r="C19" s="15"/>
      <c r="D19" s="16"/>
      <c r="E19" s="16"/>
      <c r="F19" s="16"/>
    </row>
    <row r="20" ht="20.05" customHeight="1">
      <c r="B20" t="s" s="10">
        <v>19</v>
      </c>
      <c r="C20" s="15">
        <f>-('Sales'!G16+'Sales'!H16)</f>
        <v>-80</v>
      </c>
      <c r="D20" s="16">
        <f>C20</f>
        <v>-80</v>
      </c>
      <c r="E20" s="16">
        <f>D20</f>
        <v>-80</v>
      </c>
      <c r="F20" s="16">
        <f>E20</f>
        <v>-80</v>
      </c>
    </row>
    <row r="21" ht="20.05" customHeight="1">
      <c r="B21" t="s" s="10">
        <v>20</v>
      </c>
      <c r="C21" s="15">
        <f>C6+C8+C20</f>
        <v>56.723485966572</v>
      </c>
      <c r="D21" s="16">
        <f>D6+D8+D20</f>
        <v>127.511485966572</v>
      </c>
      <c r="E21" s="16">
        <f>E6+E8+E20</f>
        <v>210.333445966572</v>
      </c>
      <c r="F21" s="16">
        <f>F6+F8+F20</f>
        <v>307.235139166572</v>
      </c>
    </row>
    <row r="22" ht="20.05" customHeight="1">
      <c r="B22" t="s" s="18">
        <v>21</v>
      </c>
      <c r="C22" s="15"/>
      <c r="D22" s="16"/>
      <c r="E22" s="16"/>
      <c r="F22" s="16"/>
    </row>
    <row r="23" ht="20.05" customHeight="1">
      <c r="B23" t="s" s="10">
        <v>22</v>
      </c>
      <c r="C23" s="15">
        <f>'Balance sheet'!D15+'Balance sheet'!E15-C10</f>
        <v>11198.4</v>
      </c>
      <c r="D23" s="16">
        <f>C23-D10</f>
        <v>11200.4</v>
      </c>
      <c r="E23" s="16">
        <f>D23-E10</f>
        <v>11202.4</v>
      </c>
      <c r="F23" s="16">
        <f>E23-F10</f>
        <v>11204.4</v>
      </c>
    </row>
    <row r="24" ht="20.05" customHeight="1">
      <c r="B24" t="s" s="10">
        <v>23</v>
      </c>
      <c r="C24" s="15">
        <f>'Balance sheet'!E15-C20</f>
        <v>161</v>
      </c>
      <c r="D24" s="16">
        <f>C24-D20</f>
        <v>241</v>
      </c>
      <c r="E24" s="16">
        <f>D24-E20</f>
        <v>321</v>
      </c>
      <c r="F24" s="16">
        <f>E24-F20</f>
        <v>401</v>
      </c>
    </row>
    <row r="25" ht="20.05" customHeight="1">
      <c r="B25" t="s" s="10">
        <v>24</v>
      </c>
      <c r="C25" s="15">
        <f>C23-C24</f>
        <v>11037.4</v>
      </c>
      <c r="D25" s="16">
        <f>D23-D24</f>
        <v>10959.4</v>
      </c>
      <c r="E25" s="16">
        <f>E23-E24</f>
        <v>10881.4</v>
      </c>
      <c r="F25" s="16">
        <f>F23-F24</f>
        <v>10803.4</v>
      </c>
    </row>
    <row r="26" ht="20.05" customHeight="1">
      <c r="B26" t="s" s="10">
        <v>25</v>
      </c>
      <c r="C26" s="15">
        <f>'Balance sheet'!F15</f>
        <v>4400</v>
      </c>
      <c r="D26" s="16">
        <f>C26</f>
        <v>4400</v>
      </c>
      <c r="E26" s="16">
        <f>D26</f>
        <v>4400</v>
      </c>
      <c r="F26" s="16">
        <f>E26</f>
        <v>4400</v>
      </c>
    </row>
    <row r="27" ht="20.05" customHeight="1">
      <c r="B27" t="s" s="10">
        <v>14</v>
      </c>
      <c r="C27" s="15">
        <f>C15</f>
        <v>0</v>
      </c>
      <c r="D27" s="16">
        <f>C27+D15</f>
        <v>0</v>
      </c>
      <c r="E27" s="16">
        <f>D27+E15</f>
        <v>0</v>
      </c>
      <c r="F27" s="16">
        <f>E27+F15</f>
        <v>0</v>
      </c>
    </row>
    <row r="28" ht="20.05" customHeight="1">
      <c r="B28" t="s" s="10">
        <v>12</v>
      </c>
      <c r="C28" s="15">
        <f>'Balance sheet'!G15+C21+C13</f>
        <v>8464.7064401766</v>
      </c>
      <c r="D28" s="16">
        <f>C28+D21+D13</f>
        <v>8553.964480353199</v>
      </c>
      <c r="E28" s="16">
        <f>D28+E21+E13</f>
        <v>8701.197892529801</v>
      </c>
      <c r="F28" s="16">
        <f>E28+F21+F13</f>
        <v>8916.262489946401</v>
      </c>
    </row>
    <row r="29" ht="20.05" customHeight="1">
      <c r="B29" t="s" s="10">
        <v>26</v>
      </c>
      <c r="C29" s="15">
        <f>C26+C27+C28-C18-C25</f>
        <v>0</v>
      </c>
      <c r="D29" s="16">
        <f>D26+D27+D28-D18-D25</f>
        <v>0</v>
      </c>
      <c r="E29" s="16">
        <f>E26+E27+E28-E18-E25</f>
        <v>0</v>
      </c>
      <c r="F29" s="16">
        <f>F26+F27+F28-F18-F25</f>
        <v>0</v>
      </c>
    </row>
    <row r="30" ht="20.05" customHeight="1">
      <c r="B30" t="s" s="18">
        <v>27</v>
      </c>
      <c r="C30" s="15"/>
      <c r="D30" s="16"/>
      <c r="E30" s="16"/>
      <c r="F30" s="16"/>
    </row>
    <row r="31" ht="20.05" customHeight="1">
      <c r="B31" t="s" s="10">
        <v>28</v>
      </c>
      <c r="C31" s="15">
        <f>'Cashflow'!N16-C11</f>
        <v>-8334.982954210031</v>
      </c>
      <c r="D31" s="16">
        <f>C31-D11</f>
        <v>-8296.729508420060</v>
      </c>
      <c r="E31" s="16">
        <f>D31-E11</f>
        <v>-8233.629474630090</v>
      </c>
      <c r="F31" s="16">
        <f>E31-F11</f>
        <v>-8141.458932880120</v>
      </c>
    </row>
    <row r="32" ht="20.05" customHeight="1">
      <c r="B32" t="s" s="10">
        <v>29</v>
      </c>
      <c r="C32" s="15"/>
      <c r="D32" s="16"/>
      <c r="E32" s="16"/>
      <c r="F32" s="16">
        <v>161424718430208</v>
      </c>
    </row>
    <row r="33" ht="20.05" customHeight="1">
      <c r="B33" t="s" s="10">
        <v>29</v>
      </c>
      <c r="C33" s="15"/>
      <c r="D33" s="16"/>
      <c r="E33" s="16"/>
      <c r="F33" s="16">
        <f>F32/1000000000</f>
        <v>161424.718430208</v>
      </c>
    </row>
    <row r="34" ht="20.05" customHeight="1">
      <c r="B34" t="s" s="10">
        <v>30</v>
      </c>
      <c r="C34" s="15"/>
      <c r="D34" s="16"/>
      <c r="E34" s="16"/>
      <c r="F34" s="16">
        <f>F33/(F18+F25)</f>
        <v>12.1223743187761</v>
      </c>
    </row>
    <row r="35" ht="20.05" customHeight="1">
      <c r="B35" t="s" s="10">
        <v>31</v>
      </c>
      <c r="C35" s="15"/>
      <c r="D35" s="16"/>
      <c r="E35" s="16"/>
      <c r="F35" s="12">
        <f>-(C13+D13+E13+F13)/F33</f>
        <v>0.00130426782940875</v>
      </c>
    </row>
    <row r="36" ht="20.05" customHeight="1">
      <c r="B36" t="s" s="10">
        <v>3</v>
      </c>
      <c r="C36" s="15"/>
      <c r="D36" s="16"/>
      <c r="E36" s="16"/>
      <c r="F36" s="16">
        <f>SUM(F9:F10)*4</f>
        <v>1540.940556666290</v>
      </c>
    </row>
    <row r="37" ht="20.05" customHeight="1">
      <c r="B37" t="s" s="10">
        <v>27</v>
      </c>
      <c r="C37" s="15"/>
      <c r="D37" s="16"/>
      <c r="E37" s="16"/>
      <c r="F37" s="16">
        <f>F33/F36</f>
        <v>104.757265120881</v>
      </c>
    </row>
    <row r="38" ht="20.05" customHeight="1">
      <c r="B38" t="s" s="10">
        <v>32</v>
      </c>
      <c r="C38" s="15"/>
      <c r="D38" s="16"/>
      <c r="E38" s="16"/>
      <c r="F38" s="16">
        <v>75</v>
      </c>
    </row>
    <row r="39" ht="20.05" customHeight="1">
      <c r="B39" t="s" s="10">
        <v>33</v>
      </c>
      <c r="C39" s="15"/>
      <c r="D39" s="16"/>
      <c r="E39" s="16"/>
      <c r="F39" s="16">
        <f>F36*F38</f>
        <v>115570.541749972</v>
      </c>
    </row>
    <row r="40" ht="20.05" customHeight="1">
      <c r="B40" t="s" s="10">
        <v>34</v>
      </c>
      <c r="C40" s="15"/>
      <c r="D40" s="16"/>
      <c r="E40" s="16"/>
      <c r="F40" s="16">
        <f>F33/F42</f>
        <v>13.8561990068848</v>
      </c>
    </row>
    <row r="41" ht="20.05" customHeight="1">
      <c r="B41" t="s" s="10">
        <v>35</v>
      </c>
      <c r="C41" s="19"/>
      <c r="D41" s="20"/>
      <c r="E41" s="20"/>
      <c r="F41" s="16">
        <f>F39/F40</f>
        <v>8340.710298152320</v>
      </c>
    </row>
    <row r="42" ht="20.05" customHeight="1">
      <c r="B42" t="s" s="10">
        <v>36</v>
      </c>
      <c r="C42" s="15"/>
      <c r="D42" s="16"/>
      <c r="E42" s="16"/>
      <c r="F42" s="16">
        <v>11650</v>
      </c>
    </row>
    <row r="43" ht="20.05" customHeight="1">
      <c r="B43" t="s" s="10">
        <v>37</v>
      </c>
      <c r="C43" s="19"/>
      <c r="D43" s="21"/>
      <c r="E43" s="20"/>
      <c r="F43" s="12">
        <f>F41/F42-1</f>
        <v>-0.284059201875337</v>
      </c>
    </row>
    <row r="44" ht="20.05" customHeight="1">
      <c r="B44" t="s" s="10">
        <v>38</v>
      </c>
      <c r="C44" s="19"/>
      <c r="D44" s="21"/>
      <c r="E44" s="20"/>
      <c r="F44" s="22">
        <f>'Sales'!C16/'Sales'!C12-1</f>
        <v>5.30909090909091</v>
      </c>
    </row>
    <row r="45" ht="20.05" customHeight="1">
      <c r="B45" t="s" s="10">
        <v>39</v>
      </c>
      <c r="C45" s="19"/>
      <c r="D45" s="21"/>
      <c r="E45" s="20"/>
      <c r="F45" s="12">
        <f>'Sales'!G19/'Sales'!F19-1</f>
        <v>-0.06666666666666669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41406" style="23" customWidth="1"/>
    <col min="2" max="2" width="9.67188" style="23" customWidth="1"/>
    <col min="3" max="13" width="8.98438" style="23" customWidth="1"/>
    <col min="14" max="16384" width="16.3516" style="23" customWidth="1"/>
  </cols>
  <sheetData>
    <row r="1" ht="31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5">
        <v>1</v>
      </c>
      <c r="C3" t="s" s="5">
        <v>5</v>
      </c>
      <c r="D3" t="s" s="5">
        <v>40</v>
      </c>
      <c r="E3" t="s" s="5">
        <v>32</v>
      </c>
      <c r="F3" t="s" s="5">
        <v>41</v>
      </c>
      <c r="G3" t="s" s="5">
        <v>42</v>
      </c>
      <c r="H3" t="s" s="5">
        <v>23</v>
      </c>
      <c r="I3" t="s" s="5">
        <v>20</v>
      </c>
      <c r="J3" t="s" s="5">
        <v>43</v>
      </c>
      <c r="K3" t="s" s="5">
        <v>44</v>
      </c>
      <c r="L3" t="s" s="5">
        <v>44</v>
      </c>
      <c r="M3" t="s" s="5">
        <v>32</v>
      </c>
    </row>
    <row r="4" ht="20.25" customHeight="1">
      <c r="B4" s="24">
        <v>2019</v>
      </c>
      <c r="C4" s="25">
        <v>14</v>
      </c>
      <c r="D4" s="26">
        <v>14</v>
      </c>
      <c r="E4" s="26"/>
      <c r="F4" s="27"/>
      <c r="G4" s="26">
        <v>0</v>
      </c>
      <c r="H4" s="26">
        <v>0.5</v>
      </c>
      <c r="I4" s="26">
        <v>-6</v>
      </c>
      <c r="J4" s="9"/>
      <c r="K4" s="9">
        <f>(I4+G4+H4-C4)/C4</f>
        <v>-1.39285714285714</v>
      </c>
      <c r="L4" s="9"/>
      <c r="M4" s="9"/>
    </row>
    <row r="5" ht="20.05" customHeight="1">
      <c r="B5" s="28"/>
      <c r="C5" s="15">
        <v>17</v>
      </c>
      <c r="D5" s="16">
        <v>16</v>
      </c>
      <c r="E5" s="16"/>
      <c r="F5" s="29"/>
      <c r="G5" s="16">
        <v>0</v>
      </c>
      <c r="H5" s="16">
        <v>0.5</v>
      </c>
      <c r="I5" s="16">
        <v>-8</v>
      </c>
      <c r="J5" s="12">
        <f>C5/C4-1</f>
        <v>0.214285714285714</v>
      </c>
      <c r="K5" s="12">
        <f>(I5+G5+H5-C5)/C5</f>
        <v>-1.44117647058824</v>
      </c>
      <c r="L5" s="12"/>
      <c r="M5" s="12"/>
    </row>
    <row r="6" ht="20.05" customHeight="1">
      <c r="B6" s="28"/>
      <c r="C6" s="15">
        <v>13</v>
      </c>
      <c r="D6" s="16">
        <v>13</v>
      </c>
      <c r="E6" s="16"/>
      <c r="F6" s="30">
        <f>C6/'Balance sheet'!D5</f>
        <v>0.0247383444338725</v>
      </c>
      <c r="G6" s="16">
        <v>6</v>
      </c>
      <c r="H6" s="16">
        <v>0.5</v>
      </c>
      <c r="I6" s="16">
        <v>-5</v>
      </c>
      <c r="J6" s="12">
        <f>C6/C5-1</f>
        <v>-0.235294117647059</v>
      </c>
      <c r="K6" s="12">
        <f>(I6+G6+H6-C6)/C6</f>
        <v>-0.884615384615385</v>
      </c>
      <c r="L6" s="12">
        <f>AVERAGE(K3:K6)</f>
        <v>-1.23954966602026</v>
      </c>
      <c r="M6" s="12"/>
    </row>
    <row r="7" ht="20.05" customHeight="1">
      <c r="B7" s="28"/>
      <c r="C7" s="15">
        <v>14</v>
      </c>
      <c r="D7" s="16">
        <v>13</v>
      </c>
      <c r="E7" s="16"/>
      <c r="F7" s="30">
        <f>C7/'Balance sheet'!D6</f>
        <v>0.0137592137592138</v>
      </c>
      <c r="G7" s="16">
        <v>60</v>
      </c>
      <c r="H7" s="16">
        <v>0.5</v>
      </c>
      <c r="I7" s="16">
        <v>-103</v>
      </c>
      <c r="J7" s="12">
        <f>C7/C6-1</f>
        <v>0.0769230769230769</v>
      </c>
      <c r="K7" s="12">
        <f>(I7+G7+H7-C7)/C7</f>
        <v>-4.03571428571429</v>
      </c>
      <c r="L7" s="12">
        <f>AVERAGE(K4:K7)</f>
        <v>-1.93859082094376</v>
      </c>
      <c r="M7" s="12"/>
    </row>
    <row r="8" ht="20.05" customHeight="1">
      <c r="B8" s="31">
        <v>2020</v>
      </c>
      <c r="C8" s="15">
        <v>21</v>
      </c>
      <c r="D8" s="16">
        <v>19</v>
      </c>
      <c r="E8" s="16"/>
      <c r="F8" s="30">
        <f>C8/'Balance sheet'!D7</f>
        <v>0.0235558048233315</v>
      </c>
      <c r="G8" s="16">
        <v>0</v>
      </c>
      <c r="H8" s="16">
        <v>2</v>
      </c>
      <c r="I8" s="16">
        <v>-25</v>
      </c>
      <c r="J8" s="12">
        <f>C8/C7-1</f>
        <v>0.5</v>
      </c>
      <c r="K8" s="12">
        <f>(I8+G8+H8-C8)/C8</f>
        <v>-2.0952380952381</v>
      </c>
      <c r="L8" s="12">
        <f>AVERAGE(K5:K8)</f>
        <v>-2.114186059039</v>
      </c>
      <c r="M8" s="12"/>
    </row>
    <row r="9" ht="20.05" customHeight="1">
      <c r="B9" s="28"/>
      <c r="C9" s="15">
        <v>22</v>
      </c>
      <c r="D9" s="16">
        <v>22</v>
      </c>
      <c r="E9" s="16"/>
      <c r="F9" s="30">
        <f>C9/'Balance sheet'!D8</f>
        <v>0.015422362425517</v>
      </c>
      <c r="G9" s="16">
        <v>0</v>
      </c>
      <c r="H9" s="16">
        <v>2</v>
      </c>
      <c r="I9" s="16">
        <v>-26</v>
      </c>
      <c r="J9" s="12">
        <f>C9/C8-1</f>
        <v>0.0476190476190476</v>
      </c>
      <c r="K9" s="12">
        <f>(I9+G9+H9-C9)/C9</f>
        <v>-2.09090909090909</v>
      </c>
      <c r="L9" s="12">
        <f>AVERAGE(K6:K9)</f>
        <v>-2.27661921411922</v>
      </c>
      <c r="M9" s="12"/>
    </row>
    <row r="10" ht="20.05" customHeight="1">
      <c r="B10" s="28"/>
      <c r="C10" s="15">
        <v>35</v>
      </c>
      <c r="D10" s="16">
        <v>29</v>
      </c>
      <c r="E10" s="16"/>
      <c r="F10" s="30">
        <f>C10/'Balance sheet'!D9</f>
        <v>0.025170801869831</v>
      </c>
      <c r="G10" s="16">
        <v>21</v>
      </c>
      <c r="H10" s="16">
        <v>2</v>
      </c>
      <c r="I10" s="16">
        <v>-55</v>
      </c>
      <c r="J10" s="12">
        <f>C10/C9-1</f>
        <v>0.5909090909090911</v>
      </c>
      <c r="K10" s="12">
        <f>(I10+G10+H10-C10)/C10</f>
        <v>-1.91428571428571</v>
      </c>
      <c r="L10" s="12">
        <f>AVERAGE(K7:K10)</f>
        <v>-2.5340367965368</v>
      </c>
      <c r="M10" s="12"/>
    </row>
    <row r="11" ht="20.05" customHeight="1">
      <c r="B11" s="28"/>
      <c r="C11" s="15">
        <v>37</v>
      </c>
      <c r="D11" s="16">
        <v>38</v>
      </c>
      <c r="E11" s="16"/>
      <c r="F11" s="30">
        <f>C11/'Balance sheet'!D10</f>
        <v>0.0213564213564214</v>
      </c>
      <c r="G11" s="16">
        <v>17</v>
      </c>
      <c r="H11" s="16">
        <v>2</v>
      </c>
      <c r="I11" s="16">
        <v>-84</v>
      </c>
      <c r="J11" s="12">
        <f>C11/C10-1</f>
        <v>0.0571428571428571</v>
      </c>
      <c r="K11" s="12">
        <f>(I11+G11+H11-C11)/C11</f>
        <v>-2.75675675675676</v>
      </c>
      <c r="L11" s="12">
        <f>AVERAGE(K8:K11)</f>
        <v>-2.21429741429742</v>
      </c>
      <c r="M11" s="12"/>
    </row>
    <row r="12" ht="20.05" customHeight="1">
      <c r="B12" s="31">
        <v>2021</v>
      </c>
      <c r="C12" s="15">
        <v>55</v>
      </c>
      <c r="D12" s="16">
        <v>49</v>
      </c>
      <c r="E12" s="16"/>
      <c r="F12" s="30">
        <f>C12/'Balance sheet'!D11</f>
        <v>0.0282123621441395</v>
      </c>
      <c r="G12" s="32">
        <v>7</v>
      </c>
      <c r="H12" s="32">
        <v>11.5</v>
      </c>
      <c r="I12" s="16">
        <v>-38</v>
      </c>
      <c r="J12" s="12">
        <f>C12/C11-1</f>
        <v>0.486486486486486</v>
      </c>
      <c r="K12" s="12">
        <f>(I12+G12+H12-C12)/C12</f>
        <v>-1.35454545454545</v>
      </c>
      <c r="L12" s="12">
        <f>AVERAGE(K9:K12)</f>
        <v>-2.02912425412425</v>
      </c>
      <c r="M12" s="12"/>
    </row>
    <row r="13" ht="20.05" customHeight="1">
      <c r="B13" s="28"/>
      <c r="C13" s="15">
        <f>160.5+20.4-C12</f>
        <v>125.9</v>
      </c>
      <c r="D13" s="16">
        <f>107.4+17.8-D12</f>
        <v>76.2</v>
      </c>
      <c r="E13" s="32">
        <v>77</v>
      </c>
      <c r="F13" s="30">
        <f>C13/'Balance sheet'!D12</f>
        <v>0.0177661751217103</v>
      </c>
      <c r="G13" s="32">
        <f>20.1-G12</f>
        <v>13.1</v>
      </c>
      <c r="H13" s="16">
        <v>11.5</v>
      </c>
      <c r="I13" s="16">
        <f>-46.8-I12</f>
        <v>-8.800000000000001</v>
      </c>
      <c r="J13" s="12">
        <f>C13/C12-1</f>
        <v>1.28909090909091</v>
      </c>
      <c r="K13" s="12">
        <f>(I13+G13+H13-C13)/C13</f>
        <v>-0.87450357426529</v>
      </c>
      <c r="L13" s="12">
        <f>AVERAGE(K10:K13)</f>
        <v>-1.7250228749633</v>
      </c>
      <c r="M13" s="12"/>
    </row>
    <row r="14" ht="20.05" customHeight="1">
      <c r="B14" s="28"/>
      <c r="C14" s="33">
        <f>355.5+27.8-C13-C12</f>
        <v>202.4</v>
      </c>
      <c r="D14" s="32">
        <f>202.5+22.2-D13-D12</f>
        <v>99.5</v>
      </c>
      <c r="E14" s="16">
        <v>163.67</v>
      </c>
      <c r="F14" s="30">
        <f>C14/'Balance sheet'!D13</f>
        <v>0.0238131654803224</v>
      </c>
      <c r="G14" s="32">
        <f>41.7-G13-G12</f>
        <v>21.6</v>
      </c>
      <c r="H14" s="32">
        <v>11.5</v>
      </c>
      <c r="I14" s="32">
        <f>-32.6-I13-I12</f>
        <v>14.2</v>
      </c>
      <c r="J14" s="12">
        <f>C14/C13-1</f>
        <v>0.607625099285147</v>
      </c>
      <c r="K14" s="12">
        <f>(I14+G14+H14-C14)/C14</f>
        <v>-0.766304347826087</v>
      </c>
      <c r="L14" s="12">
        <f>AVERAGE(K11:K14)</f>
        <v>-1.4380275333484</v>
      </c>
      <c r="M14" s="12"/>
    </row>
    <row r="15" ht="20.05" customHeight="1">
      <c r="B15" s="28"/>
      <c r="C15" s="33">
        <f>526+127-C14-C13-C12</f>
        <v>269.7</v>
      </c>
      <c r="D15" s="32">
        <f>576+36-D14-D13-D12</f>
        <v>387.3</v>
      </c>
      <c r="E15" s="14">
        <v>263.12</v>
      </c>
      <c r="F15" s="30">
        <f>C15/'Balance sheet'!D14</f>
        <v>0.0247578831413228</v>
      </c>
      <c r="G15" s="32">
        <f>92-G14-G13-G12</f>
        <v>50.3</v>
      </c>
      <c r="H15" s="32">
        <v>11.5</v>
      </c>
      <c r="I15" s="32">
        <f>86-I14-I13-I12</f>
        <v>118.6</v>
      </c>
      <c r="J15" s="12">
        <f>C15/C14-1</f>
        <v>0.332509881422925</v>
      </c>
      <c r="K15" s="12">
        <f>(I15+G15+H15-C15)/C15</f>
        <v>-0.331108639228773</v>
      </c>
      <c r="L15" s="12">
        <f>AVERAGE(K12:K15)</f>
        <v>-0.8316155039664</v>
      </c>
      <c r="M15" s="12">
        <f>L15</f>
        <v>-0.8316155039664</v>
      </c>
    </row>
    <row r="16" ht="20.05" customHeight="1">
      <c r="B16" s="31">
        <v>2020</v>
      </c>
      <c r="C16" s="33">
        <f>195+152</f>
        <v>347</v>
      </c>
      <c r="D16" s="32">
        <v>319</v>
      </c>
      <c r="E16" s="14">
        <v>358.701</v>
      </c>
      <c r="F16" s="30">
        <f>C16/'Balance sheet'!D15</f>
        <v>0.0312179498713497</v>
      </c>
      <c r="G16" s="32">
        <v>60</v>
      </c>
      <c r="H16" s="32">
        <v>20</v>
      </c>
      <c r="I16" s="32">
        <v>19</v>
      </c>
      <c r="J16" s="12">
        <f>C16/C15-1</f>
        <v>0.28661475713756</v>
      </c>
      <c r="K16" s="12">
        <f>(I16+G16+H16-C16)/C16</f>
        <v>-0.714697406340058</v>
      </c>
      <c r="L16" s="12">
        <f>AVERAGE(K13:K16)</f>
        <v>-0.671653491915052</v>
      </c>
      <c r="M16" s="34">
        <v>-0.331108639228773</v>
      </c>
    </row>
    <row r="17" ht="20.05" customHeight="1">
      <c r="B17" s="28"/>
      <c r="C17" s="33"/>
      <c r="D17" s="32"/>
      <c r="E17" s="14">
        <f>'Model'!C6</f>
        <v>416.4</v>
      </c>
      <c r="F17" s="29"/>
      <c r="G17" s="32"/>
      <c r="H17" s="20"/>
      <c r="I17" s="32"/>
      <c r="J17" s="16"/>
      <c r="K17" s="16"/>
      <c r="L17" s="32"/>
      <c r="M17" s="34">
        <f>'Model'!C7</f>
        <v>-0.671653491915052</v>
      </c>
    </row>
    <row r="18" ht="20.05" customHeight="1">
      <c r="B18" s="28"/>
      <c r="C18" s="33"/>
      <c r="D18" s="32"/>
      <c r="E18" s="16">
        <f>SUM('Model'!D6)</f>
        <v>487.188</v>
      </c>
      <c r="F18" s="29"/>
      <c r="G18" s="32"/>
      <c r="H18" s="32"/>
      <c r="I18" s="32"/>
      <c r="J18" s="16"/>
      <c r="K18" s="16"/>
      <c r="L18" s="32"/>
      <c r="M18" s="32"/>
    </row>
    <row r="19" ht="20.05" customHeight="1">
      <c r="B19" s="28"/>
      <c r="C19" s="33"/>
      <c r="D19" s="32"/>
      <c r="E19" s="16">
        <f>'Model'!E6</f>
        <v>570.00996</v>
      </c>
      <c r="F19" s="32">
        <f>SUM(C13:C16)</f>
        <v>945</v>
      </c>
      <c r="G19" s="32">
        <f>SUM(D13:D16)</f>
        <v>882</v>
      </c>
      <c r="H19" s="32"/>
      <c r="I19" s="32"/>
      <c r="J19" s="16"/>
      <c r="K19" s="16"/>
      <c r="L19" s="32"/>
      <c r="M19" s="32"/>
    </row>
    <row r="20" ht="20.05" customHeight="1">
      <c r="B20" s="31">
        <v>2023</v>
      </c>
      <c r="C20" s="33"/>
      <c r="D20" s="32"/>
      <c r="E20" s="16">
        <f>'Model'!F6</f>
        <v>666.9116532</v>
      </c>
      <c r="F20" s="32"/>
      <c r="G20" s="32"/>
      <c r="H20" s="32"/>
      <c r="I20" s="32"/>
      <c r="J20" s="16"/>
      <c r="K20" s="16"/>
      <c r="L20" s="32"/>
      <c r="M20" s="32"/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8906" style="35" customWidth="1"/>
    <col min="2" max="16" width="9.33594" style="35" customWidth="1"/>
    <col min="17" max="16384" width="16.3516" style="35" customWidth="1"/>
  </cols>
  <sheetData>
    <row r="1" ht="25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56.25" customHeight="1">
      <c r="B3" t="s" s="5">
        <v>1</v>
      </c>
      <c r="C3" t="s" s="5">
        <v>45</v>
      </c>
      <c r="D3" t="s" s="5">
        <v>46</v>
      </c>
      <c r="E3" t="s" s="5">
        <v>8</v>
      </c>
      <c r="F3" t="s" s="5">
        <v>9</v>
      </c>
      <c r="G3" t="s" s="5">
        <v>47</v>
      </c>
      <c r="H3" t="s" s="5">
        <v>25</v>
      </c>
      <c r="I3" t="s" s="5">
        <v>12</v>
      </c>
      <c r="J3" t="s" s="5">
        <v>10</v>
      </c>
      <c r="K3" t="s" s="5">
        <v>48</v>
      </c>
      <c r="L3" t="s" s="5">
        <v>3</v>
      </c>
      <c r="M3" t="s" s="5">
        <v>32</v>
      </c>
      <c r="N3" t="s" s="5">
        <v>28</v>
      </c>
      <c r="O3" t="s" s="5">
        <v>32</v>
      </c>
      <c r="P3" s="36"/>
    </row>
    <row r="4" ht="20.25" customHeight="1">
      <c r="B4" s="24">
        <v>2019</v>
      </c>
      <c r="C4" s="25">
        <v>-4.4</v>
      </c>
      <c r="D4" s="26">
        <v>0</v>
      </c>
      <c r="E4" s="26">
        <v>24</v>
      </c>
      <c r="F4" s="26">
        <v>-96</v>
      </c>
      <c r="G4" s="26"/>
      <c r="H4" s="26"/>
      <c r="I4" s="26"/>
      <c r="J4" s="26">
        <v>0</v>
      </c>
      <c r="K4" s="26">
        <f>C4+D4</f>
        <v>-4.4</v>
      </c>
      <c r="L4" s="26"/>
      <c r="M4" s="8"/>
      <c r="N4" s="8"/>
      <c r="O4" s="8"/>
      <c r="P4" s="37">
        <v>1</v>
      </c>
    </row>
    <row r="5" ht="20.05" customHeight="1">
      <c r="B5" s="28"/>
      <c r="C5" s="15">
        <f>-8.2-C4</f>
        <v>-3.8</v>
      </c>
      <c r="D5" s="16">
        <v>0</v>
      </c>
      <c r="E5" s="16">
        <v>5</v>
      </c>
      <c r="F5" s="16">
        <v>69</v>
      </c>
      <c r="G5" s="16"/>
      <c r="H5" s="16"/>
      <c r="I5" s="16"/>
      <c r="J5" s="16">
        <v>0</v>
      </c>
      <c r="K5" s="16">
        <f>C5+D5</f>
        <v>-3.8</v>
      </c>
      <c r="L5" s="16">
        <f>AVERAGE(K3:K5)</f>
        <v>-4.1</v>
      </c>
      <c r="M5" s="20"/>
      <c r="N5" s="20"/>
      <c r="O5" s="20"/>
      <c r="P5" s="38">
        <f>1+P4</f>
        <v>2</v>
      </c>
    </row>
    <row r="6" ht="20.05" customHeight="1">
      <c r="B6" s="28"/>
      <c r="C6" s="15">
        <f>-12.4-SUM(C4:C5)</f>
        <v>-4.2</v>
      </c>
      <c r="D6" s="16">
        <v>-1.5</v>
      </c>
      <c r="E6" s="16">
        <v>-5</v>
      </c>
      <c r="F6" s="16">
        <v>71</v>
      </c>
      <c r="G6" s="16"/>
      <c r="H6" s="16"/>
      <c r="I6" s="16"/>
      <c r="J6" s="16">
        <v>0</v>
      </c>
      <c r="K6" s="16">
        <f>C6+D6</f>
        <v>-5.7</v>
      </c>
      <c r="L6" s="16">
        <f>AVERAGE(K3:K6)</f>
        <v>-4.63333333333333</v>
      </c>
      <c r="M6" s="20"/>
      <c r="N6" s="20"/>
      <c r="O6" s="20"/>
      <c r="P6" s="38">
        <f>1+P5</f>
        <v>3</v>
      </c>
    </row>
    <row r="7" ht="20.05" customHeight="1">
      <c r="B7" s="28"/>
      <c r="C7" s="15">
        <f>-47.6-SUM(C4:C6)</f>
        <v>-35.2</v>
      </c>
      <c r="D7" s="16">
        <v>-0.5</v>
      </c>
      <c r="E7" s="16">
        <v>-527</v>
      </c>
      <c r="F7" s="16">
        <v>-46</v>
      </c>
      <c r="G7" s="16"/>
      <c r="H7" s="16"/>
      <c r="I7" s="16"/>
      <c r="J7" s="16">
        <v>683</v>
      </c>
      <c r="K7" s="16">
        <f>C7+D7</f>
        <v>-35.7</v>
      </c>
      <c r="L7" s="16">
        <f>AVERAGE(K4:K7)</f>
        <v>-12.4</v>
      </c>
      <c r="M7" s="16"/>
      <c r="N7" s="16">
        <f>-J7+N6</f>
        <v>-683</v>
      </c>
      <c r="O7" s="16"/>
      <c r="P7" s="38">
        <f>1+P6</f>
        <v>4</v>
      </c>
    </row>
    <row r="8" ht="20.05" customHeight="1">
      <c r="B8" s="31">
        <v>2020</v>
      </c>
      <c r="C8" s="15">
        <v>-28</v>
      </c>
      <c r="D8" s="16">
        <v>0</v>
      </c>
      <c r="E8" s="16">
        <v>-104</v>
      </c>
      <c r="F8" s="16">
        <v>121</v>
      </c>
      <c r="G8" s="16"/>
      <c r="H8" s="16"/>
      <c r="I8" s="16"/>
      <c r="J8" s="16">
        <v>1</v>
      </c>
      <c r="K8" s="16">
        <f>C8+D8</f>
        <v>-28</v>
      </c>
      <c r="L8" s="16">
        <f>AVERAGE(K5:K8)</f>
        <v>-18.3</v>
      </c>
      <c r="M8" s="16"/>
      <c r="N8" s="16">
        <f>-J8+N7</f>
        <v>-684</v>
      </c>
      <c r="O8" s="16"/>
      <c r="P8" s="38">
        <f>1+P7</f>
        <v>5</v>
      </c>
    </row>
    <row r="9" ht="20.05" customHeight="1">
      <c r="B9" s="28"/>
      <c r="C9" s="15">
        <f>-57.9-C8</f>
        <v>-29.9</v>
      </c>
      <c r="D9" s="16">
        <v>0</v>
      </c>
      <c r="E9" s="16">
        <v>-157</v>
      </c>
      <c r="F9" s="16">
        <v>-528</v>
      </c>
      <c r="G9" s="16"/>
      <c r="H9" s="16"/>
      <c r="I9" s="16"/>
      <c r="J9" s="16">
        <v>644</v>
      </c>
      <c r="K9" s="16">
        <f>C9+D9</f>
        <v>-29.9</v>
      </c>
      <c r="L9" s="16">
        <f>AVERAGE(K6:K9)</f>
        <v>-24.825</v>
      </c>
      <c r="M9" s="16"/>
      <c r="N9" s="16">
        <f>-J9+N8</f>
        <v>-1328</v>
      </c>
      <c r="O9" s="16"/>
      <c r="P9" s="38">
        <f>1+P8</f>
        <v>6</v>
      </c>
    </row>
    <row r="10" ht="20.05" customHeight="1">
      <c r="B10" s="28"/>
      <c r="C10" s="15">
        <f>-78.5-SUM(C8:C9)</f>
        <v>-20.6</v>
      </c>
      <c r="D10" s="16">
        <v>-12</v>
      </c>
      <c r="E10" s="16">
        <v>-104</v>
      </c>
      <c r="F10" s="16">
        <v>164</v>
      </c>
      <c r="G10" s="16">
        <f>-2.7-SUM(G8:G9)</f>
        <v>-2.7</v>
      </c>
      <c r="H10" s="16"/>
      <c r="I10" s="16"/>
      <c r="J10" s="16">
        <v>-4</v>
      </c>
      <c r="K10" s="16">
        <f>C10+D10</f>
        <v>-32.6</v>
      </c>
      <c r="L10" s="16">
        <f>AVERAGE(K7:K10)</f>
        <v>-31.55</v>
      </c>
      <c r="M10" s="16"/>
      <c r="N10" s="16">
        <f>-J10+N9</f>
        <v>-1324</v>
      </c>
      <c r="O10" s="16"/>
      <c r="P10" s="38">
        <f>1+P9</f>
        <v>7</v>
      </c>
    </row>
    <row r="11" ht="20.05" customHeight="1">
      <c r="B11" s="28"/>
      <c r="C11" s="15">
        <f>-139-SUM(C8:C10)</f>
        <v>-60.5</v>
      </c>
      <c r="D11" s="16">
        <v>-39</v>
      </c>
      <c r="E11" s="16">
        <v>38</v>
      </c>
      <c r="F11" s="16">
        <v>-22</v>
      </c>
      <c r="G11" s="16">
        <f>-7.9-SUM(G8:G10)</f>
        <v>-5.2</v>
      </c>
      <c r="H11" s="16"/>
      <c r="I11" s="16"/>
      <c r="J11" s="16">
        <v>95</v>
      </c>
      <c r="K11" s="16">
        <f>C11+D11</f>
        <v>-99.5</v>
      </c>
      <c r="L11" s="16">
        <f>AVERAGE(K8:K11)</f>
        <v>-47.5</v>
      </c>
      <c r="M11" s="16"/>
      <c r="N11" s="16">
        <f>-J11+N10</f>
        <v>-1419</v>
      </c>
      <c r="O11" s="16"/>
      <c r="P11" s="38">
        <f>1+P10</f>
        <v>8</v>
      </c>
    </row>
    <row r="12" ht="20.05" customHeight="1">
      <c r="B12" s="31">
        <v>2021</v>
      </c>
      <c r="C12" s="15">
        <v>-10.3</v>
      </c>
      <c r="D12" s="16">
        <v>-11</v>
      </c>
      <c r="E12" s="16">
        <v>-48</v>
      </c>
      <c r="F12" s="16">
        <v>-52</v>
      </c>
      <c r="G12" s="16">
        <v>-2.625</v>
      </c>
      <c r="H12" s="16"/>
      <c r="I12" s="16">
        <v>6950</v>
      </c>
      <c r="J12" s="16">
        <v>6947</v>
      </c>
      <c r="K12" s="16">
        <f>C12+D12</f>
        <v>-21.3</v>
      </c>
      <c r="L12" s="16">
        <f>AVERAGE(K9:K12)</f>
        <v>-45.825</v>
      </c>
      <c r="M12" s="16"/>
      <c r="N12" s="16">
        <f>-(H12+I12)+N11</f>
        <v>-8369</v>
      </c>
      <c r="O12" s="16"/>
      <c r="P12" s="38">
        <f>1+P11</f>
        <v>9</v>
      </c>
    </row>
    <row r="13" ht="20.05" customHeight="1">
      <c r="B13" s="28"/>
      <c r="C13" s="15">
        <f>-114.5-C12</f>
        <v>-104.2</v>
      </c>
      <c r="D13" s="16">
        <f>-20.4-D12</f>
        <v>-9.4</v>
      </c>
      <c r="E13" s="16">
        <f>-3747.4-E12</f>
        <v>-3699.4</v>
      </c>
      <c r="F13" s="16">
        <f>-621.8-F12</f>
        <v>-569.8</v>
      </c>
      <c r="G13" s="16">
        <v>-2.625</v>
      </c>
      <c r="H13" s="16"/>
      <c r="I13" s="16">
        <f>6933-I12</f>
        <v>-17</v>
      </c>
      <c r="J13" s="16">
        <f>6928.2-J12</f>
        <v>-18.8</v>
      </c>
      <c r="K13" s="16">
        <f>C13+D13</f>
        <v>-113.6</v>
      </c>
      <c r="L13" s="16">
        <f>AVERAGE(K10:K13)</f>
        <v>-66.75</v>
      </c>
      <c r="M13" s="16"/>
      <c r="N13" s="16">
        <f>-(H13+I13)+N12</f>
        <v>-8352</v>
      </c>
      <c r="O13" s="16"/>
      <c r="P13" s="38">
        <f>1+P12</f>
        <v>10</v>
      </c>
    </row>
    <row r="14" ht="20.05" customHeight="1">
      <c r="B14" s="28"/>
      <c r="C14" s="15">
        <f>-184.5-C13-C12</f>
        <v>-70</v>
      </c>
      <c r="D14" s="16">
        <f>-25.6-D13-D12</f>
        <v>-5.2</v>
      </c>
      <c r="E14" s="16">
        <f>-3158.5-E13-E12</f>
        <v>588.9</v>
      </c>
      <c r="F14" s="16">
        <f>-1736-F13-F12</f>
        <v>-1114.2</v>
      </c>
      <c r="G14" s="16">
        <v>-2.625</v>
      </c>
      <c r="H14" s="16"/>
      <c r="I14" s="16">
        <f>6933-I13-I12</f>
        <v>0</v>
      </c>
      <c r="J14" s="16">
        <f>6925.5-J13-J12</f>
        <v>-2.7</v>
      </c>
      <c r="K14" s="16">
        <f>C14+D14</f>
        <v>-75.2</v>
      </c>
      <c r="L14" s="16">
        <f>AVERAGE(K11:K14)</f>
        <v>-77.40000000000001</v>
      </c>
      <c r="M14" s="16"/>
      <c r="N14" s="16">
        <f>-(H14+I14)+N13</f>
        <v>-8352</v>
      </c>
      <c r="O14" s="16"/>
      <c r="P14" s="38">
        <f>1+P13</f>
        <v>11</v>
      </c>
    </row>
    <row r="15" ht="20.05" customHeight="1">
      <c r="B15" s="28"/>
      <c r="C15" s="15">
        <f>30-C14-C13-C12</f>
        <v>214.5</v>
      </c>
      <c r="D15" s="16">
        <f>-31-D14-D13-D12</f>
        <v>-5.4</v>
      </c>
      <c r="E15" s="16">
        <f>-3787-E14-E13-E12</f>
        <v>-628.5</v>
      </c>
      <c r="F15" s="16">
        <f>-2165-F14-F13-F12</f>
        <v>-429</v>
      </c>
      <c r="G15" s="16">
        <v>-2.625</v>
      </c>
      <c r="H15" s="16"/>
      <c r="I15" s="16">
        <f>6950-17-I14-I13-I12</f>
        <v>0</v>
      </c>
      <c r="J15" s="16">
        <f>6923-J14-J13-J12</f>
        <v>-2.5</v>
      </c>
      <c r="K15" s="16">
        <f>C15+D15</f>
        <v>209.1</v>
      </c>
      <c r="L15" s="16">
        <f>AVERAGE(K12:K15)</f>
        <v>-0.25</v>
      </c>
      <c r="M15" s="16"/>
      <c r="N15" s="16">
        <f>-(H15+I15)+N14</f>
        <v>-8352</v>
      </c>
      <c r="O15" s="16"/>
      <c r="P15" s="38">
        <f>1+P14</f>
        <v>12</v>
      </c>
    </row>
    <row r="16" ht="20.05" customHeight="1">
      <c r="B16" s="31">
        <v>2022</v>
      </c>
      <c r="C16" s="15">
        <v>74</v>
      </c>
      <c r="D16" s="16">
        <v>-2</v>
      </c>
      <c r="E16" s="16">
        <v>659.3</v>
      </c>
      <c r="F16" s="16">
        <v>-365.5</v>
      </c>
      <c r="G16" s="16">
        <v>-3</v>
      </c>
      <c r="H16" s="16">
        <v>0</v>
      </c>
      <c r="I16" s="16">
        <v>0</v>
      </c>
      <c r="J16" s="16">
        <v>-2.7</v>
      </c>
      <c r="K16" s="16">
        <f>C16+D16</f>
        <v>72</v>
      </c>
      <c r="L16" s="16">
        <f>AVERAGE(K13:K16)</f>
        <v>23.075</v>
      </c>
      <c r="M16" s="16">
        <v>352.27560325</v>
      </c>
      <c r="N16" s="16">
        <f>-(H16+I16)+N15</f>
        <v>-8352</v>
      </c>
      <c r="O16" s="16">
        <v>-8058.260244525</v>
      </c>
      <c r="P16" s="38">
        <f>1+P15</f>
        <v>13</v>
      </c>
    </row>
    <row r="17" ht="20.05" customHeight="1">
      <c r="B17" s="28"/>
      <c r="C17" s="15"/>
      <c r="D17" s="16"/>
      <c r="E17" s="16"/>
      <c r="F17" s="16"/>
      <c r="G17" s="16"/>
      <c r="H17" s="16"/>
      <c r="I17" s="16"/>
      <c r="J17" s="16"/>
      <c r="K17" s="16"/>
      <c r="L17" s="20"/>
      <c r="M17" s="16">
        <f>'Model'!F9+'Model'!F10</f>
        <v>385.235139166572</v>
      </c>
      <c r="N17" s="20"/>
      <c r="O17" s="16">
        <f>'Model'!F31</f>
        <v>-8141.458932880120</v>
      </c>
      <c r="P17" s="16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1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1" width="10.0625" style="39" customWidth="1"/>
    <col min="12" max="16384" width="16.3516" style="39" customWidth="1"/>
  </cols>
  <sheetData>
    <row r="1" ht="27.65" customHeight="1">
      <c r="A1" t="s" s="2">
        <v>49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4.25" customHeight="1">
      <c r="A2" t="s" s="5">
        <v>1</v>
      </c>
      <c r="B2" t="s" s="5">
        <v>50</v>
      </c>
      <c r="C2" t="s" s="5">
        <v>51</v>
      </c>
      <c r="D2" t="s" s="5">
        <v>22</v>
      </c>
      <c r="E2" t="s" s="5">
        <v>23</v>
      </c>
      <c r="F2" t="s" s="5">
        <v>25</v>
      </c>
      <c r="G2" t="s" s="5">
        <v>12</v>
      </c>
      <c r="H2" t="s" s="5">
        <v>26</v>
      </c>
      <c r="I2" t="s" s="5">
        <v>52</v>
      </c>
      <c r="J2" t="s" s="5">
        <v>52</v>
      </c>
      <c r="K2" t="s" s="5">
        <v>53</v>
      </c>
    </row>
    <row r="3" ht="20.25" customHeight="1">
      <c r="A3" s="24">
        <v>2019</v>
      </c>
      <c r="B3" s="40">
        <v>53.5</v>
      </c>
      <c r="C3" s="41"/>
      <c r="D3" s="41"/>
      <c r="E3" s="41"/>
      <c r="F3" s="41"/>
      <c r="G3" s="41"/>
      <c r="H3" s="26"/>
      <c r="I3" s="42"/>
      <c r="J3" s="42"/>
      <c r="K3" s="41"/>
    </row>
    <row r="4" ht="20.05" customHeight="1">
      <c r="A4" s="28"/>
      <c r="B4" s="13">
        <v>127.5</v>
      </c>
      <c r="C4" s="14"/>
      <c r="D4" s="14"/>
      <c r="E4" s="14"/>
      <c r="F4" s="14"/>
      <c r="G4" s="14"/>
      <c r="H4" s="16"/>
      <c r="I4" s="22"/>
      <c r="J4" s="22"/>
      <c r="K4" s="14"/>
    </row>
    <row r="5" ht="20.05" customHeight="1">
      <c r="A5" s="28"/>
      <c r="B5" s="13">
        <v>193.5</v>
      </c>
      <c r="C5" s="14">
        <v>719</v>
      </c>
      <c r="D5" s="14">
        <f>C5-B5</f>
        <v>525.5</v>
      </c>
      <c r="E5" s="14"/>
      <c r="F5" s="14">
        <v>622</v>
      </c>
      <c r="G5" s="14">
        <v>97</v>
      </c>
      <c r="H5" s="16">
        <f>F5+G5-B5-D5</f>
        <v>0</v>
      </c>
      <c r="I5" s="20"/>
      <c r="J5" s="20"/>
      <c r="K5" s="16"/>
    </row>
    <row r="6" ht="20.05" customHeight="1">
      <c r="A6" s="28"/>
      <c r="B6" s="13">
        <v>303.5</v>
      </c>
      <c r="C6" s="14">
        <v>1321</v>
      </c>
      <c r="D6" s="14">
        <f>C6-B6</f>
        <v>1017.5</v>
      </c>
      <c r="E6" s="14"/>
      <c r="F6" s="14">
        <v>640</v>
      </c>
      <c r="G6" s="14">
        <v>681</v>
      </c>
      <c r="H6" s="16">
        <f>F6+G6-B6-D6</f>
        <v>0</v>
      </c>
      <c r="I6" s="12">
        <f>D6/D5-1</f>
        <v>0.9362511893434819</v>
      </c>
      <c r="J6" s="12"/>
      <c r="K6" s="16"/>
    </row>
    <row r="7" ht="20.05" customHeight="1">
      <c r="A7" s="31">
        <v>2020</v>
      </c>
      <c r="B7" s="13">
        <v>321.5</v>
      </c>
      <c r="C7" s="14">
        <v>1213</v>
      </c>
      <c r="D7" s="14">
        <f>C7-B7</f>
        <v>891.5</v>
      </c>
      <c r="E7" s="14"/>
      <c r="F7" s="14">
        <v>558</v>
      </c>
      <c r="G7" s="14">
        <v>654</v>
      </c>
      <c r="H7" s="16">
        <f>F7+G7-B7-D7</f>
        <v>-1</v>
      </c>
      <c r="I7" s="12">
        <f>D7/D6-1</f>
        <v>-0.123832923832924</v>
      </c>
      <c r="J7" s="12"/>
      <c r="K7" s="16"/>
    </row>
    <row r="8" ht="20.05" customHeight="1">
      <c r="A8" s="28"/>
      <c r="B8" s="13">
        <v>280.5</v>
      </c>
      <c r="C8" s="14">
        <v>1707</v>
      </c>
      <c r="D8" s="14">
        <f>C8-B8</f>
        <v>1426.5</v>
      </c>
      <c r="E8" s="14"/>
      <c r="F8" s="14">
        <v>435</v>
      </c>
      <c r="G8" s="14">
        <v>1272</v>
      </c>
      <c r="H8" s="16">
        <f>F8+G8-B8-D8</f>
        <v>0</v>
      </c>
      <c r="I8" s="12">
        <f>D8/D7-1</f>
        <v>0.600112170499159</v>
      </c>
      <c r="J8" s="12"/>
      <c r="K8" s="16"/>
    </row>
    <row r="9" ht="20.05" customHeight="1">
      <c r="A9" s="28"/>
      <c r="B9" s="13">
        <v>336.5</v>
      </c>
      <c r="C9" s="14">
        <v>1727</v>
      </c>
      <c r="D9" s="14">
        <f>C9-B9</f>
        <v>1390.5</v>
      </c>
      <c r="E9" s="14"/>
      <c r="F9" s="14">
        <v>511</v>
      </c>
      <c r="G9" s="14">
        <v>1216</v>
      </c>
      <c r="H9" s="16">
        <f>F9+G9-B9-D9</f>
        <v>0</v>
      </c>
      <c r="I9" s="12">
        <f>D9/D8-1</f>
        <v>-0.0252365930599369</v>
      </c>
      <c r="J9" s="12">
        <f>AVERAGE(I6:I9)</f>
        <v>0.346823460737445</v>
      </c>
      <c r="K9" s="16">
        <f>B9-F9</f>
        <v>-174.5</v>
      </c>
    </row>
    <row r="10" ht="20.05" customHeight="1">
      <c r="A10" s="28"/>
      <c r="B10" s="13">
        <v>447.5</v>
      </c>
      <c r="C10" s="14">
        <v>2180</v>
      </c>
      <c r="D10" s="14">
        <f>C10-B10</f>
        <v>1732.5</v>
      </c>
      <c r="E10" s="14">
        <v>15</v>
      </c>
      <c r="F10" s="14">
        <v>948</v>
      </c>
      <c r="G10" s="14">
        <v>1232</v>
      </c>
      <c r="H10" s="16">
        <f>F10+G10-B10-D10</f>
        <v>0</v>
      </c>
      <c r="I10" s="12">
        <f>D10/D9-1</f>
        <v>0.245954692556634</v>
      </c>
      <c r="J10" s="12">
        <f>AVERAGE(I7:I10)</f>
        <v>0.174249336540733</v>
      </c>
      <c r="K10" s="16">
        <f>B10-F10</f>
        <v>-500.5</v>
      </c>
    </row>
    <row r="11" ht="20.05" customHeight="1">
      <c r="A11" s="31">
        <v>2021</v>
      </c>
      <c r="B11" s="13">
        <v>7294.5</v>
      </c>
      <c r="C11" s="14">
        <v>9244</v>
      </c>
      <c r="D11" s="14">
        <f>C11-B11</f>
        <v>1949.5</v>
      </c>
      <c r="E11" s="14">
        <v>20</v>
      </c>
      <c r="F11" s="14">
        <v>1101</v>
      </c>
      <c r="G11" s="14">
        <v>8143</v>
      </c>
      <c r="H11" s="16">
        <f>F11+G11-B11-D11</f>
        <v>0</v>
      </c>
      <c r="I11" s="12">
        <f>D11/D10-1</f>
        <v>0.125252525252525</v>
      </c>
      <c r="J11" s="12">
        <f>AVERAGE(I8:I11)</f>
        <v>0.236520698812095</v>
      </c>
      <c r="K11" s="16">
        <f>B11-F11</f>
        <v>6193.5</v>
      </c>
    </row>
    <row r="12" ht="20.05" customHeight="1">
      <c r="A12" s="28"/>
      <c r="B12" s="13">
        <v>3006.5</v>
      </c>
      <c r="C12" s="14">
        <v>10093</v>
      </c>
      <c r="D12" s="14">
        <f>C12-B12</f>
        <v>7086.5</v>
      </c>
      <c r="E12" s="14">
        <f>24+8</f>
        <v>32</v>
      </c>
      <c r="F12" s="14">
        <v>1975</v>
      </c>
      <c r="G12" s="14">
        <v>8118</v>
      </c>
      <c r="H12" s="16">
        <f>F12+G12-B12-D12</f>
        <v>0</v>
      </c>
      <c r="I12" s="12">
        <f>D12/D11-1</f>
        <v>2.63503462426263</v>
      </c>
      <c r="J12" s="12">
        <f>AVERAGE(I9:I12)</f>
        <v>0.745251312252963</v>
      </c>
      <c r="K12" s="16">
        <f>B12-F12</f>
        <v>1031.5</v>
      </c>
    </row>
    <row r="13" ht="20.05" customHeight="1">
      <c r="A13" s="28"/>
      <c r="B13" s="13">
        <v>2478.5</v>
      </c>
      <c r="C13" s="14">
        <v>10978</v>
      </c>
      <c r="D13" s="14">
        <f>C13-B13</f>
        <v>8499.5</v>
      </c>
      <c r="E13" s="14">
        <f>E12+'Sales'!H14</f>
        <v>43.5</v>
      </c>
      <c r="F13" s="14">
        <v>2845.5</v>
      </c>
      <c r="G13" s="14">
        <v>8132.8</v>
      </c>
      <c r="H13" s="16">
        <f>F13+G13-B13-D13</f>
        <v>0.3</v>
      </c>
      <c r="I13" s="12">
        <f>D13/D12-1</f>
        <v>0.199393212446201</v>
      </c>
      <c r="J13" s="12">
        <f>AVERAGE(I10:I13)</f>
        <v>0.801408763629498</v>
      </c>
      <c r="K13" s="16">
        <f>B13-F13</f>
        <v>-367</v>
      </c>
    </row>
    <row r="14" ht="20.05" customHeight="1">
      <c r="A14" s="28"/>
      <c r="B14" s="13">
        <v>1418.5</v>
      </c>
      <c r="C14" s="14">
        <v>12312</v>
      </c>
      <c r="D14" s="14">
        <f>C14-B14</f>
        <v>10893.5</v>
      </c>
      <c r="E14" s="14">
        <f>19+13+29</f>
        <v>61</v>
      </c>
      <c r="F14" s="14">
        <v>3953</v>
      </c>
      <c r="G14" s="14">
        <f>C14-F14</f>
        <v>8359</v>
      </c>
      <c r="H14" s="16">
        <f>F14+G14-B14-D14</f>
        <v>0</v>
      </c>
      <c r="I14" s="12">
        <f>D14/D13-1</f>
        <v>0.281663627272192</v>
      </c>
      <c r="J14" s="12">
        <f>AVERAGE(I11:I14)</f>
        <v>0.810335997308387</v>
      </c>
      <c r="K14" s="16">
        <f>B14-F14</f>
        <v>-2534.5</v>
      </c>
    </row>
    <row r="15" ht="20.05" customHeight="1">
      <c r="A15" s="31">
        <v>2022</v>
      </c>
      <c r="B15" s="13">
        <f>B14+'Cashflow'!E16+'Cashflow'!F16+'Cashflow'!J16</f>
        <v>1709.6</v>
      </c>
      <c r="C15" s="14">
        <v>12825</v>
      </c>
      <c r="D15" s="14">
        <f>C15-B15</f>
        <v>11115.4</v>
      </c>
      <c r="E15" s="14">
        <f>E14+'Sales'!H16</f>
        <v>81</v>
      </c>
      <c r="F15" s="14">
        <v>4400</v>
      </c>
      <c r="G15" s="14">
        <f>C15-F15</f>
        <v>8425</v>
      </c>
      <c r="H15" s="16">
        <f>F15+G15-B15-D15</f>
        <v>0</v>
      </c>
      <c r="I15" s="12">
        <f>D15/D14-1</f>
        <v>0.0203699453802726</v>
      </c>
      <c r="J15" s="12">
        <f>AVERAGE(I12:I15)</f>
        <v>0.784115352340324</v>
      </c>
      <c r="K15" s="16">
        <f>B15-F15</f>
        <v>-2690.4</v>
      </c>
    </row>
    <row r="16" ht="20.05" customHeight="1">
      <c r="A16" s="28"/>
      <c r="B16" s="13"/>
      <c r="C16" s="14"/>
      <c r="D16" s="14"/>
      <c r="E16" s="14"/>
      <c r="F16" s="14"/>
      <c r="G16" s="14"/>
      <c r="H16" s="14"/>
      <c r="I16" s="12"/>
      <c r="J16" s="12"/>
      <c r="K16" s="16"/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4" width="10.3047" style="43" customWidth="1"/>
    <col min="5" max="16384" width="16.3516" style="43" customWidth="1"/>
  </cols>
  <sheetData>
    <row r="1" ht="27.65" customHeight="1">
      <c r="A1" t="s" s="2">
        <v>54</v>
      </c>
      <c r="B1" s="2"/>
      <c r="C1" s="2"/>
      <c r="D1" s="2"/>
    </row>
    <row r="2" ht="20.25" customHeight="1">
      <c r="A2" s="36"/>
      <c r="B2" t="s" s="5">
        <v>55</v>
      </c>
      <c r="C2" t="s" s="5">
        <v>56</v>
      </c>
      <c r="D2" t="s" s="5">
        <v>57</v>
      </c>
    </row>
    <row r="3" ht="20.25" customHeight="1">
      <c r="A3" s="24">
        <v>2020</v>
      </c>
      <c r="B3" s="25">
        <v>735</v>
      </c>
      <c r="C3" s="8"/>
      <c r="D3" s="8"/>
    </row>
    <row r="4" ht="20.05" customHeight="1">
      <c r="A4" s="28"/>
      <c r="B4" s="15">
        <v>1770</v>
      </c>
      <c r="C4" s="20"/>
      <c r="D4" s="20"/>
    </row>
    <row r="5" ht="20.05" customHeight="1">
      <c r="A5" s="28"/>
      <c r="B5" s="15">
        <v>2840</v>
      </c>
      <c r="C5" s="20"/>
      <c r="D5" s="20"/>
    </row>
    <row r="6" ht="20.05" customHeight="1">
      <c r="A6" s="28"/>
      <c r="B6" s="15">
        <v>4300</v>
      </c>
      <c r="C6" s="20"/>
      <c r="D6" s="20"/>
    </row>
    <row r="7" ht="20.05" customHeight="1">
      <c r="A7" s="31">
        <v>2021</v>
      </c>
      <c r="B7" s="15">
        <v>9725</v>
      </c>
      <c r="C7" s="20"/>
      <c r="D7" s="20"/>
    </row>
    <row r="8" ht="20.05" customHeight="1">
      <c r="A8" s="28"/>
      <c r="B8" s="15">
        <v>12150</v>
      </c>
      <c r="C8" s="20"/>
      <c r="D8" s="20"/>
    </row>
    <row r="9" ht="20.05" customHeight="1">
      <c r="A9" s="28"/>
      <c r="B9" s="15">
        <v>15075</v>
      </c>
      <c r="C9" s="16">
        <v>12389.7928494401</v>
      </c>
      <c r="D9" s="20"/>
    </row>
    <row r="10" ht="20.05" customHeight="1">
      <c r="A10" s="28"/>
      <c r="B10" s="15">
        <v>14900</v>
      </c>
      <c r="C10" s="16">
        <v>12389.7928494401</v>
      </c>
      <c r="D10" s="20"/>
    </row>
    <row r="11" ht="20.05" customHeight="1">
      <c r="A11" s="31">
        <v>2020</v>
      </c>
      <c r="B11" s="15">
        <v>14650</v>
      </c>
      <c r="C11" s="16">
        <v>10636.0641859564</v>
      </c>
      <c r="D11" s="20"/>
    </row>
    <row r="12" ht="20.05" customHeight="1">
      <c r="A12" s="28"/>
      <c r="B12" s="15">
        <v>11650</v>
      </c>
      <c r="C12" s="16">
        <v>10169.4729723487</v>
      </c>
      <c r="D12" s="20"/>
    </row>
    <row r="13" ht="20.05" customHeight="1">
      <c r="A13" s="28"/>
      <c r="B13" s="15"/>
      <c r="C13" s="16">
        <f>'Model'!F41</f>
        <v>8340.710298152320</v>
      </c>
      <c r="D13" s="20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