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 " sheetId="4" r:id="rId7"/>
    <sheet name="Share price " sheetId="5" r:id="rId8"/>
    <sheet name="Data -1-1" sheetId="6" r:id="rId9"/>
    <sheet name="Data" sheetId="7" r:id="rId10"/>
  </sheets>
</workbook>
</file>

<file path=xl/sharedStrings.xml><?xml version="1.0" encoding="utf-8"?>
<sst xmlns="http://schemas.openxmlformats.org/spreadsheetml/2006/main" uniqueCount="67">
  <si>
    <t>Model</t>
  </si>
  <si>
    <t>$m</t>
  </si>
  <si>
    <t>4Q 2022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</si>
  <si>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</si>
  <si>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</si>
  <si>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</si>
  <si>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</si>
  <si>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</si>
  <si>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Non cash costs </t>
  </si>
  <si>
    <t xml:space="preserve">Profit </t>
  </si>
  <si>
    <t xml:space="preserve">Operating </t>
  </si>
  <si>
    <t xml:space="preserve">Investment </t>
  </si>
  <si>
    <t xml:space="preserve">Liabilities </t>
  </si>
  <si>
    <t xml:space="preserve">Revolver </t>
  </si>
  <si>
    <t xml:space="preserve">Payout </t>
  </si>
  <si>
    <t xml:space="preserve">Equity </t>
  </si>
  <si>
    <t xml:space="preserve">Before revolver </t>
  </si>
  <si>
    <t xml:space="preserve">Beginning </t>
  </si>
  <si>
    <t xml:space="preserve">Change </t>
  </si>
  <si>
    <t xml:space="preserve">Ending </t>
  </si>
  <si>
    <t xml:space="preserve">Balance sheet </t>
  </si>
  <si>
    <t xml:space="preserve">Other assets </t>
  </si>
  <si>
    <t xml:space="preserve">Depreciation </t>
  </si>
  <si>
    <t xml:space="preserve">Check </t>
  </si>
  <si>
    <t xml:space="preserve">Net cash </t>
  </si>
  <si>
    <t xml:space="preserve">Valuation </t>
  </si>
  <si>
    <t xml:space="preserve">Rupiah </t>
  </si>
  <si>
    <t xml:space="preserve">Capital </t>
  </si>
  <si>
    <t xml:space="preserve">Current value </t>
  </si>
  <si>
    <t xml:space="preserve">P/assets </t>
  </si>
  <si>
    <t xml:space="preserve">Yield </t>
  </si>
  <si>
    <t xml:space="preserve">Payback </t>
  </si>
  <si>
    <t xml:space="preserve">Forecast </t>
  </si>
  <si>
    <t xml:space="preserve">Value </t>
  </si>
  <si>
    <t xml:space="preserve">Shares 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</si>
  <si>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</si>
  <si>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</si>
  <si>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</si>
  <si>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</si>
  <si>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 </t>
  </si>
  <si>
    <t xml:space="preserve">Cost ratios </t>
  </si>
  <si>
    <t>Cashflow</t>
  </si>
  <si>
    <t xml:space="preserve">Receipts </t>
  </si>
  <si>
    <t>Investing</t>
  </si>
  <si>
    <t>Finance</t>
  </si>
  <si>
    <t>Free cashflow</t>
  </si>
  <si>
    <t>Balance sheet</t>
  </si>
  <si>
    <t>Cash</t>
  </si>
  <si>
    <t>Assets</t>
  </si>
  <si>
    <t>Other assets</t>
  </si>
  <si>
    <t>Share price</t>
  </si>
  <si>
    <t>ARCI</t>
  </si>
  <si>
    <t xml:space="preserve">Previous </t>
  </si>
  <si>
    <t>Data</t>
  </si>
  <si>
    <t>2Q2021</t>
  </si>
  <si>
    <t>3Q2021</t>
  </si>
  <si>
    <t>4Q2021</t>
  </si>
  <si>
    <t>Sales Quarterly</t>
  </si>
  <si>
    <t xml:space="preserve">Assets </t>
  </si>
  <si>
    <t xml:space="preserve">Cashflow costs </t>
  </si>
  <si>
    <t>Previous target</t>
  </si>
  <si>
    <t>Quarterly data</t>
  </si>
  <si>
    <t>Profit</t>
  </si>
  <si>
    <t>1Q</t>
  </si>
  <si>
    <t>2Q</t>
  </si>
  <si>
    <t>3Q</t>
  </si>
  <si>
    <t>4Q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</si>
</sst>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3" borderId="2" applyNumberFormat="1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3" borderId="5" applyNumberFormat="1" applyFont="1" applyFill="1" applyBorder="1" applyAlignment="1" applyProtection="0">
      <alignment horizontal="right" vertical="top" wrapText="1"/>
    </xf>
    <xf numFmtId="3" fontId="0" borderId="7" applyNumberFormat="1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horizontal="right" vertical="top" wrapText="1"/>
    </xf>
    <xf numFmtId="0" fontId="2" fillId="3" borderId="5" applyNumberFormat="1" applyFont="1" applyFill="1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2" fillId="3" borderId="2" applyNumberFormat="1" applyFont="1" applyFill="1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1" applyFont="1" applyFill="1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641580</xdr:colOff>
      <xdr:row>1</xdr:row>
      <xdr:rowOff>132996</xdr:rowOff>
    </xdr:from>
    <xdr:to>
      <xdr:col>11</xdr:col>
      <xdr:colOff>1120336</xdr:colOff>
      <xdr:row>44</xdr:row>
      <xdr:rowOff>36403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476980" y="484151"/>
          <a:ext cx="7946356" cy="1085779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45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1" customWidth="1"/>
    <col min="2" max="5" width="8.5" style="1" customWidth="1"/>
    <col min="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t="s" s="3">
        <v>1</v>
      </c>
      <c r="B2" s="4"/>
      <c r="C2" s="4"/>
      <c r="D2" s="4"/>
      <c r="E2" t="s" s="5">
        <v>2</v>
      </c>
    </row>
    <row r="3" ht="20.25" customHeight="1">
      <c r="A3" t="s" s="6">
        <v>3</v>
      </c>
      <c r="B3" s="7">
        <f>AVERAGE('Sales'!F9:F12)</f>
        <v>0.0217728763302385</v>
      </c>
      <c r="C3" s="8"/>
      <c r="D3" s="8"/>
      <c r="E3" s="9">
        <f>AVERAGE(B4:E4)</f>
        <v>0.025</v>
      </c>
    </row>
    <row r="4" ht="20.05" customHeight="1">
      <c r="A4" t="s" s="10">
        <v>4</v>
      </c>
      <c r="B4" s="11">
        <v>0.01</v>
      </c>
      <c r="C4" s="12">
        <v>0.03</v>
      </c>
      <c r="D4" s="12">
        <v>0.03</v>
      </c>
      <c r="E4" s="12">
        <v>0.03</v>
      </c>
    </row>
    <row r="5" ht="20.05" customHeight="1">
      <c r="A5" t="s" s="10">
        <v>5</v>
      </c>
      <c r="B5" s="13">
        <f>'Sales'!B12*(1+B4)</f>
        <v>110.09</v>
      </c>
      <c r="C5" s="14">
        <f>B5*(1+C4)</f>
        <v>113.3927</v>
      </c>
      <c r="D5" s="14">
        <f>C5*(1+D4)</f>
        <v>116.794481</v>
      </c>
      <c r="E5" s="14">
        <f>D5*(1+E4)</f>
        <v>120.29831543</v>
      </c>
    </row>
    <row r="6" ht="20.05" customHeight="1">
      <c r="A6" t="s" s="10">
        <v>6</v>
      </c>
      <c r="B6" s="15">
        <f>AVERAGE('Sales'!G11)</f>
        <v>-0.6757894736842111</v>
      </c>
      <c r="C6" s="16">
        <f>B6</f>
        <v>-0.6757894736842111</v>
      </c>
      <c r="D6" s="16">
        <f>C6</f>
        <v>-0.6757894736842111</v>
      </c>
      <c r="E6" s="16">
        <f>D6</f>
        <v>-0.6757894736842111</v>
      </c>
    </row>
    <row r="7" ht="20.05" customHeight="1">
      <c r="A7" t="s" s="10">
        <v>7</v>
      </c>
      <c r="B7" s="17">
        <f>B5*B6</f>
        <v>-74.3976631578948</v>
      </c>
      <c r="C7" s="14">
        <f>C5*C6</f>
        <v>-76.62959305263161</v>
      </c>
      <c r="D7" s="14">
        <f>D5*D6</f>
        <v>-78.9284808442106</v>
      </c>
      <c r="E7" s="14">
        <f>E5*E6</f>
        <v>-81.2963352695369</v>
      </c>
    </row>
    <row r="8" ht="20.05" customHeight="1">
      <c r="A8" t="s" s="10">
        <v>8</v>
      </c>
      <c r="B8" s="17">
        <f>-'Sales'!D12</f>
        <v>-6.8</v>
      </c>
      <c r="C8" s="18">
        <f>B8</f>
        <v>-6.8</v>
      </c>
      <c r="D8" s="18">
        <f>C8</f>
        <v>-6.8</v>
      </c>
      <c r="E8" s="18">
        <f>D8</f>
        <v>-6.8</v>
      </c>
    </row>
    <row r="9" ht="20.05" customHeight="1">
      <c r="A9" t="s" s="10">
        <v>9</v>
      </c>
      <c r="B9" s="13">
        <f>B5+B7+B8</f>
        <v>28.8923368421052</v>
      </c>
      <c r="C9" s="14">
        <f>C5+C7+C8</f>
        <v>29.9631069473684</v>
      </c>
      <c r="D9" s="14">
        <f>D5+D7+D8</f>
        <v>31.0660001557894</v>
      </c>
      <c r="E9" s="14">
        <f>E5+E7+E8</f>
        <v>32.2019801604631</v>
      </c>
    </row>
    <row r="10" ht="20.05" customHeight="1">
      <c r="A10" t="s" s="10">
        <v>10</v>
      </c>
      <c r="B10" s="13">
        <f>B5+B7</f>
        <v>35.6923368421052</v>
      </c>
      <c r="C10" s="14">
        <f>C5+C7</f>
        <v>36.7631069473684</v>
      </c>
      <c r="D10" s="14">
        <f>D5+D7</f>
        <v>37.8660001557894</v>
      </c>
      <c r="E10" s="14">
        <f>E5+E7</f>
        <v>39.0019801604631</v>
      </c>
    </row>
    <row r="11" ht="20.05" customHeight="1">
      <c r="A11" t="s" s="10">
        <v>11</v>
      </c>
      <c r="B11" s="17">
        <f>SUM('Cashflow '!E11)</f>
        <v>-15</v>
      </c>
      <c r="C11" s="18">
        <f>B11</f>
        <v>-15</v>
      </c>
      <c r="D11" s="18">
        <f>C11</f>
        <v>-15</v>
      </c>
      <c r="E11" s="18">
        <f>D11</f>
        <v>-15</v>
      </c>
    </row>
    <row r="12" ht="20.05" customHeight="1">
      <c r="A12" t="s" s="10">
        <v>12</v>
      </c>
      <c r="B12" s="17">
        <f>-'Balance sheet '!F10/20</f>
        <v>-22.85</v>
      </c>
      <c r="C12" s="18">
        <f>-B23/20</f>
        <v>-21.7075</v>
      </c>
      <c r="D12" s="18">
        <f>-C23/20</f>
        <v>-20.622125</v>
      </c>
      <c r="E12" s="18">
        <f>-D23/20</f>
        <v>-19.59101875</v>
      </c>
    </row>
    <row r="13" ht="20.05" customHeight="1">
      <c r="A13" t="s" s="10">
        <v>13</v>
      </c>
      <c r="B13" s="17">
        <f>-MIN(0,B16)</f>
        <v>5.04689684210532</v>
      </c>
      <c r="C13" s="14">
        <f>-MIN(B24,C16)</f>
        <v>2.94070374736844</v>
      </c>
      <c r="D13" s="14">
        <f>-MIN(C24,D16)</f>
        <v>0.8627248597895401</v>
      </c>
      <c r="E13" s="14">
        <f>-MIN(D24,E16)</f>
        <v>-1.19076339441679</v>
      </c>
    </row>
    <row r="14" ht="20.05" customHeight="1">
      <c r="A14" t="s" s="10">
        <v>14</v>
      </c>
      <c r="B14" s="19">
        <v>0.1</v>
      </c>
      <c r="C14" s="20"/>
      <c r="D14" s="20"/>
      <c r="E14" s="20"/>
    </row>
    <row r="15" ht="20.05" customHeight="1">
      <c r="A15" t="s" s="10">
        <v>15</v>
      </c>
      <c r="B15" s="17">
        <f>IF(B9&gt;0,-B9*$B$14,0)</f>
        <v>-2.88923368421052</v>
      </c>
      <c r="C15" s="18">
        <f>IF(C9&gt;0,-C9*$B$14,0)</f>
        <v>-2.99631069473684</v>
      </c>
      <c r="D15" s="18">
        <f>IF(D9&gt;0,-D9*$B$14,0)</f>
        <v>-3.10660001557894</v>
      </c>
      <c r="E15" s="18">
        <f>IF(E9&gt;0,-E9*$B$14,0)</f>
        <v>-3.22019801604631</v>
      </c>
    </row>
    <row r="16" ht="20.05" customHeight="1">
      <c r="A16" t="s" s="10">
        <v>16</v>
      </c>
      <c r="B16" s="17">
        <f>B10+B11+B12+B15</f>
        <v>-5.04689684210532</v>
      </c>
      <c r="C16" s="14">
        <f>C10+C11+C12+C15</f>
        <v>-2.94070374736844</v>
      </c>
      <c r="D16" s="14">
        <f>D10+D11+D12+D15</f>
        <v>-0.8627248597895401</v>
      </c>
      <c r="E16" s="14">
        <f>E10+E11+E12+E15</f>
        <v>1.19076339441679</v>
      </c>
    </row>
    <row r="17" ht="20.05" customHeight="1">
      <c r="A17" t="s" s="10">
        <v>17</v>
      </c>
      <c r="B17" s="17">
        <f>'Balance sheet '!B10</f>
        <v>12.1</v>
      </c>
      <c r="C17" s="18">
        <f>B19</f>
        <v>12.1</v>
      </c>
      <c r="D17" s="18">
        <f>C19</f>
        <v>12.1</v>
      </c>
      <c r="E17" s="18">
        <f>D19</f>
        <v>12.1</v>
      </c>
    </row>
    <row r="18" ht="20.05" customHeight="1">
      <c r="A18" t="s" s="10">
        <v>18</v>
      </c>
      <c r="B18" s="17">
        <f>B10+B11+B12+B15+B13</f>
        <v>0</v>
      </c>
      <c r="C18" s="14">
        <f>C10+C11+C12+C15+C13</f>
        <v>0</v>
      </c>
      <c r="D18" s="14">
        <f>D10+D11+D12+D15+D13</f>
        <v>0</v>
      </c>
      <c r="E18" s="14">
        <f>E10+E11+E12+E15+E13</f>
        <v>0</v>
      </c>
    </row>
    <row r="19" ht="20.05" customHeight="1">
      <c r="A19" t="s" s="10">
        <v>19</v>
      </c>
      <c r="B19" s="17">
        <f>B17+B18</f>
        <v>12.1</v>
      </c>
      <c r="C19" s="18">
        <f>C17+C18</f>
        <v>12.1</v>
      </c>
      <c r="D19" s="18">
        <f>D17+D18</f>
        <v>12.1</v>
      </c>
      <c r="E19" s="18">
        <f>E17+E18</f>
        <v>12.1</v>
      </c>
    </row>
    <row r="20" ht="20.05" customHeight="1">
      <c r="A20" t="s" s="21">
        <v>20</v>
      </c>
      <c r="B20" s="22"/>
      <c r="C20" s="20"/>
      <c r="D20" s="20"/>
      <c r="E20" s="20"/>
    </row>
    <row r="21" ht="20.05" customHeight="1">
      <c r="A21" t="s" s="10">
        <v>21</v>
      </c>
      <c r="B21" s="17">
        <f>'Balance sheet '!D10+'Balance sheet '!E10-B11</f>
        <v>1075.9</v>
      </c>
      <c r="C21" s="18">
        <f>B21-C11</f>
        <v>1090.9</v>
      </c>
      <c r="D21" s="18">
        <f>C21-D11</f>
        <v>1105.9</v>
      </c>
      <c r="E21" s="18">
        <f>D21-E11</f>
        <v>1120.9</v>
      </c>
    </row>
    <row r="22" ht="20.05" customHeight="1">
      <c r="A22" t="s" s="10">
        <v>22</v>
      </c>
      <c r="B22" s="17">
        <f>'Balance sheet '!E10-B8</f>
        <v>389.8</v>
      </c>
      <c r="C22" s="18">
        <f>B22-C8</f>
        <v>396.6</v>
      </c>
      <c r="D22" s="18">
        <f>C22-D8</f>
        <v>403.4</v>
      </c>
      <c r="E22" s="18">
        <f>D22-E8</f>
        <v>410.2</v>
      </c>
    </row>
    <row r="23" ht="20.05" customHeight="1">
      <c r="A23" t="s" s="10">
        <v>12</v>
      </c>
      <c r="B23" s="17">
        <f>'Balance sheet '!F10+B12</f>
        <v>434.15</v>
      </c>
      <c r="C23" s="18">
        <f>B23+C12</f>
        <v>412.4425</v>
      </c>
      <c r="D23" s="18">
        <f>C23+D12</f>
        <v>391.820375</v>
      </c>
      <c r="E23" s="18">
        <f>D23+E12</f>
        <v>372.22935625</v>
      </c>
    </row>
    <row r="24" ht="20.05" customHeight="1">
      <c r="A24" t="s" s="10">
        <v>13</v>
      </c>
      <c r="B24" s="17">
        <f>B13</f>
        <v>5.04689684210532</v>
      </c>
      <c r="C24" s="18">
        <f>B24+C13</f>
        <v>7.98760058947376</v>
      </c>
      <c r="D24" s="18">
        <f>C24+D13</f>
        <v>8.8503254492633</v>
      </c>
      <c r="E24" s="18">
        <f>D24+E13</f>
        <v>7.65956205484651</v>
      </c>
    </row>
    <row r="25" ht="20.05" customHeight="1">
      <c r="A25" t="s" s="10">
        <v>15</v>
      </c>
      <c r="B25" s="17">
        <f>'Balance sheet '!G10+B15+B9</f>
        <v>259.003103157895</v>
      </c>
      <c r="C25" s="18">
        <f>B25+C15+C9</f>
        <v>285.969899410527</v>
      </c>
      <c r="D25" s="18">
        <f>C25+D15+D9</f>
        <v>313.929299550737</v>
      </c>
      <c r="E25" s="18">
        <f>D25+E15+E9</f>
        <v>342.911081695154</v>
      </c>
    </row>
    <row r="26" ht="20.05" customHeight="1">
      <c r="A26" t="s" s="10">
        <v>23</v>
      </c>
      <c r="B26" s="17">
        <f>B23+B24+B25-B19-(B21-B22)</f>
        <v>3.2e-13</v>
      </c>
      <c r="C26" s="18">
        <f>C23+C24+C25-C19-(C21-C22)</f>
        <v>7.6e-13</v>
      </c>
      <c r="D26" s="18">
        <f>D23+D24+D25-D19-(D21-D22)</f>
        <v>3e-13</v>
      </c>
      <c r="E26" s="18">
        <f>E23+E24+E25-E19-(E21-E22)</f>
        <v>5.1e-13</v>
      </c>
    </row>
    <row r="27" ht="20.05" customHeight="1">
      <c r="A27" t="s" s="10">
        <v>24</v>
      </c>
      <c r="B27" s="17">
        <f>B19-B23-B24</f>
        <v>-427.096896842105</v>
      </c>
      <c r="C27" s="18">
        <f>C19-C23-C24</f>
        <v>-408.330100589474</v>
      </c>
      <c r="D27" s="18">
        <f>D19-D23-D24</f>
        <v>-388.570700449263</v>
      </c>
      <c r="E27" s="18">
        <f>E19-E23-E24</f>
        <v>-367.788918304847</v>
      </c>
    </row>
    <row r="28" ht="20.05" customHeight="1">
      <c r="A28" t="s" s="21">
        <v>25</v>
      </c>
      <c r="B28" s="22"/>
      <c r="C28" s="20"/>
      <c r="D28" s="20"/>
      <c r="E28" s="20"/>
    </row>
    <row r="29" ht="20.05" customHeight="1">
      <c r="A29" t="s" s="10">
        <v>26</v>
      </c>
      <c r="B29" s="22"/>
      <c r="C29" s="20"/>
      <c r="D29" s="20"/>
      <c r="E29" s="18">
        <v>14</v>
      </c>
    </row>
    <row r="30" ht="20.05" customHeight="1">
      <c r="A30" t="s" s="10">
        <v>27</v>
      </c>
      <c r="B30" s="17">
        <f>-(B12+B15)+'Cashflow '!L11</f>
        <v>294.339233684211</v>
      </c>
      <c r="C30" s="18">
        <f>B30-(C12+C13+C15)</f>
        <v>316.102340631579</v>
      </c>
      <c r="D30" s="18">
        <f>C30-(D12+D13+D15)</f>
        <v>338.968340787368</v>
      </c>
      <c r="E30" s="18">
        <f>D30-(E12+E13+E15)</f>
        <v>362.970320947831</v>
      </c>
    </row>
    <row r="31" ht="20.05" customHeight="1">
      <c r="A31" t="s" s="10">
        <v>28</v>
      </c>
      <c r="B31" s="22"/>
      <c r="C31" s="20"/>
      <c r="D31" s="20"/>
      <c r="E31" s="18">
        <v>11672450150400</v>
      </c>
    </row>
    <row r="32" ht="20.05" customHeight="1">
      <c r="A32" t="s" s="10">
        <v>28</v>
      </c>
      <c r="B32" s="22"/>
      <c r="C32" s="20"/>
      <c r="D32" s="20"/>
      <c r="E32" s="18">
        <f>(E31/1000000000)/E29</f>
        <v>833.746439314286</v>
      </c>
    </row>
    <row r="33" ht="20.05" customHeight="1">
      <c r="A33" t="s" s="10">
        <v>29</v>
      </c>
      <c r="B33" s="22"/>
      <c r="C33" s="20"/>
      <c r="D33" s="20"/>
      <c r="E33" s="23">
        <f>E32/(E19+E21-E22)</f>
        <v>1.15349535046249</v>
      </c>
    </row>
    <row r="34" ht="20.05" customHeight="1">
      <c r="A34" t="s" s="10">
        <v>30</v>
      </c>
      <c r="B34" s="22"/>
      <c r="C34" s="20"/>
      <c r="D34" s="20"/>
      <c r="E34" s="16">
        <f>-(B15+C15+D15+E15)/E32</f>
        <v>0.0146475497042202</v>
      </c>
    </row>
    <row r="35" ht="20.05" customHeight="1">
      <c r="A35" t="s" s="10">
        <v>3</v>
      </c>
      <c r="B35" s="22"/>
      <c r="C35" s="20"/>
      <c r="D35" s="20"/>
      <c r="E35" s="14">
        <f>SUM(B10:E11)</f>
        <v>89.3234241057261</v>
      </c>
    </row>
    <row r="36" ht="20.05" customHeight="1">
      <c r="A36" t="s" s="10">
        <v>31</v>
      </c>
      <c r="B36" s="22"/>
      <c r="C36" s="20"/>
      <c r="D36" s="20"/>
      <c r="E36" s="18">
        <f>'Balance sheet '!D10/E35</f>
        <v>7.58927466996357</v>
      </c>
    </row>
    <row r="37" ht="20.05" customHeight="1">
      <c r="A37" t="s" s="10">
        <v>25</v>
      </c>
      <c r="B37" s="22"/>
      <c r="C37" s="20"/>
      <c r="D37" s="20"/>
      <c r="E37" s="18">
        <f>E32/E35</f>
        <v>9.33401789800889</v>
      </c>
    </row>
    <row r="38" ht="20.05" customHeight="1">
      <c r="A38" t="s" s="10">
        <v>32</v>
      </c>
      <c r="B38" s="22"/>
      <c r="C38" s="20"/>
      <c r="D38" s="20"/>
      <c r="E38" s="18">
        <v>10</v>
      </c>
    </row>
    <row r="39" ht="20.05" customHeight="1">
      <c r="A39" t="s" s="10">
        <v>33</v>
      </c>
      <c r="B39" s="22"/>
      <c r="C39" s="20"/>
      <c r="D39" s="20"/>
      <c r="E39" s="14">
        <f>E35*E38</f>
        <v>893.234241057261</v>
      </c>
    </row>
    <row r="40" ht="20.05" customHeight="1">
      <c r="A40" t="s" s="10">
        <v>34</v>
      </c>
      <c r="B40" s="22"/>
      <c r="C40" s="20"/>
      <c r="D40" s="20"/>
      <c r="E40" s="14">
        <f>(E31/1000000000)/E42</f>
        <v>24.83500032</v>
      </c>
    </row>
    <row r="41" ht="20.05" customHeight="1">
      <c r="A41" t="s" s="10">
        <v>35</v>
      </c>
      <c r="B41" s="22"/>
      <c r="C41" s="20"/>
      <c r="D41" s="20"/>
      <c r="E41" s="14">
        <f>(E39/E40)*E29</f>
        <v>503.534496221889</v>
      </c>
    </row>
    <row r="42" ht="20.05" customHeight="1">
      <c r="A42" t="s" s="10">
        <v>36</v>
      </c>
      <c r="B42" s="22"/>
      <c r="C42" s="20"/>
      <c r="D42" s="20"/>
      <c r="E42" s="18">
        <v>470</v>
      </c>
    </row>
    <row r="43" ht="20.05" customHeight="1">
      <c r="A43" t="s" s="10">
        <v>37</v>
      </c>
      <c r="B43" s="22"/>
      <c r="C43" s="20"/>
      <c r="D43" s="20"/>
      <c r="E43" s="16">
        <f>E41/E42-1</f>
        <v>0.07134999196146601</v>
      </c>
    </row>
    <row r="44" ht="20.05" customHeight="1">
      <c r="A44" t="s" s="10">
        <v>38</v>
      </c>
      <c r="B44" s="22"/>
      <c r="C44" s="20"/>
      <c r="D44" s="20"/>
      <c r="E44" s="16">
        <f>'Sales'!B12/'Sales'!B8-1</f>
        <v>-0.076271186440678</v>
      </c>
    </row>
    <row r="45" ht="20.05" customHeight="1">
      <c r="A45" t="s" s="10">
        <v>39</v>
      </c>
      <c r="B45" s="22"/>
      <c r="C45" s="20"/>
      <c r="D45" s="20"/>
      <c r="E45" s="16">
        <f>'Sales'!C12/'Sales'!B12-1</f>
        <v>-0.100917431192661</v>
      </c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I2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4.6797" style="24" customWidth="1"/>
    <col min="2" max="9" width="9.875" style="24" customWidth="1"/>
    <col min="10" max="16384" width="16.3516" style="24" customWidth="1"/>
  </cols>
  <sheetData>
    <row r="1" ht="27.65" customHeight="1">
      <c r="A1" t="s" s="2">
        <v>5</v>
      </c>
      <c r="B1" s="2"/>
      <c r="C1" s="2"/>
      <c r="D1" s="2"/>
      <c r="E1" s="2"/>
      <c r="F1" s="2"/>
      <c r="G1" s="2"/>
      <c r="H1" s="2"/>
      <c r="I1" s="2"/>
    </row>
    <row r="2" ht="32.25" customHeight="1">
      <c r="A2" t="s" s="5">
        <v>1</v>
      </c>
      <c r="B2" t="s" s="5">
        <v>5</v>
      </c>
      <c r="C2" t="s" s="5">
        <v>32</v>
      </c>
      <c r="D2" t="s" s="5">
        <v>8</v>
      </c>
      <c r="E2" t="s" s="5">
        <v>9</v>
      </c>
      <c r="F2" t="s" s="5">
        <v>4</v>
      </c>
      <c r="G2" t="s" s="5">
        <v>40</v>
      </c>
      <c r="H2" t="s" s="5">
        <v>40</v>
      </c>
      <c r="I2" t="s" s="5">
        <v>32</v>
      </c>
    </row>
    <row r="3" ht="20.25" customHeight="1">
      <c r="A3" s="25">
        <v>3018</v>
      </c>
      <c r="B3" s="26">
        <v>115.7</v>
      </c>
      <c r="C3" s="27"/>
      <c r="D3" s="27">
        <f>44/3</f>
        <v>14.6666666666667</v>
      </c>
      <c r="E3" s="28">
        <v>34.6666666666667</v>
      </c>
      <c r="F3" s="29"/>
      <c r="G3" s="29">
        <f>(E3+D3-B3)/B3</f>
        <v>-0.573609910688562</v>
      </c>
      <c r="H3" s="28"/>
      <c r="I3" s="28"/>
    </row>
    <row r="4" ht="20.05" customHeight="1">
      <c r="A4" s="30">
        <v>2019</v>
      </c>
      <c r="B4" s="17">
        <v>95.925</v>
      </c>
      <c r="C4" s="14"/>
      <c r="D4" s="14">
        <f>53/4</f>
        <v>13.25</v>
      </c>
      <c r="E4" s="31">
        <v>23.24</v>
      </c>
      <c r="F4" s="16"/>
      <c r="G4" s="16">
        <f>(E4+D4-B4)/B4</f>
        <v>-0.6195986447745629</v>
      </c>
      <c r="H4" s="31"/>
      <c r="I4" s="31"/>
    </row>
    <row r="5" ht="20.05" customHeight="1">
      <c r="A5" s="30">
        <v>2020</v>
      </c>
      <c r="B5" s="17">
        <f>'Data'!E4/2</f>
        <v>65.05</v>
      </c>
      <c r="C5" s="14"/>
      <c r="D5" s="14">
        <f>'Data'!F6/4</f>
        <v>5.75</v>
      </c>
      <c r="E5" s="31">
        <f>'Data'!G4/2</f>
        <v>13.1</v>
      </c>
      <c r="F5" s="16"/>
      <c r="G5" s="16">
        <f>(E5+D5-B5)/B5</f>
        <v>-0.710222905457341</v>
      </c>
      <c r="H5" s="16">
        <f>AVERAGE(G2:G5)</f>
        <v>-0.634477153640155</v>
      </c>
      <c r="I5" s="31"/>
    </row>
    <row r="6" ht="20.05" customHeight="1">
      <c r="A6" s="32"/>
      <c r="B6" s="17">
        <f>B5</f>
        <v>65.05</v>
      </c>
      <c r="C6" s="14"/>
      <c r="D6" s="14">
        <f>D5</f>
        <v>5.75</v>
      </c>
      <c r="E6" s="31">
        <f>E5</f>
        <v>13.1</v>
      </c>
      <c r="F6" s="16"/>
      <c r="G6" s="16">
        <f>(E6+D6-B6)/B6</f>
        <v>-0.710222905457341</v>
      </c>
      <c r="H6" s="16">
        <f>AVERAGE(G3:G6)</f>
        <v>-0.653413591594452</v>
      </c>
      <c r="I6" s="31"/>
    </row>
    <row r="7" ht="20.05" customHeight="1">
      <c r="A7" s="32"/>
      <c r="B7" s="17">
        <f>'Data'!E5-'Data'!E4</f>
        <v>144.9</v>
      </c>
      <c r="C7" s="14"/>
      <c r="D7" s="14">
        <f>D6</f>
        <v>5.75</v>
      </c>
      <c r="E7" s="31">
        <f>'Data'!G5-'Data'!G4</f>
        <v>56.8</v>
      </c>
      <c r="F7" s="16">
        <f>B7/B6-1</f>
        <v>1.22751729438893</v>
      </c>
      <c r="G7" s="16">
        <f>(E7+D7-B7)/B7</f>
        <v>-0.56832298136646</v>
      </c>
      <c r="H7" s="16">
        <f>AVERAGE(G3:G7)</f>
        <v>-0.636395469548853</v>
      </c>
      <c r="I7" s="31"/>
    </row>
    <row r="8" ht="20.05" customHeight="1">
      <c r="A8" s="32"/>
      <c r="B8" s="17">
        <f>'Data'!E6-'Data'!E5</f>
        <v>118</v>
      </c>
      <c r="C8" s="14"/>
      <c r="D8" s="14">
        <f>D7</f>
        <v>5.75</v>
      </c>
      <c r="E8" s="31">
        <f>'Data'!G6-'Data'!G5</f>
        <v>40</v>
      </c>
      <c r="F8" s="16">
        <f>B8/B7-1</f>
        <v>-0.185645272601794</v>
      </c>
      <c r="G8" s="16">
        <f>(E8+D8-B8)/B8</f>
        <v>-0.61228813559322</v>
      </c>
      <c r="H8" s="16">
        <f>AVERAGE(G3:G8)</f>
        <v>-0.632377580556248</v>
      </c>
      <c r="I8" s="31"/>
    </row>
    <row r="9" ht="20.05" customHeight="1">
      <c r="A9" s="30">
        <v>2021</v>
      </c>
      <c r="B9" s="17">
        <f>'Data'!E8/2</f>
        <v>71</v>
      </c>
      <c r="C9" s="14"/>
      <c r="D9" s="14">
        <f>'Data'!F10/4</f>
        <v>6.8</v>
      </c>
      <c r="E9" s="31">
        <f>'Data'!G8/2</f>
        <v>16.5</v>
      </c>
      <c r="F9" s="16">
        <f>B9/B8-1</f>
        <v>-0.398305084745763</v>
      </c>
      <c r="G9" s="16">
        <f>(E9+D9-B9)/B9</f>
        <v>-0.671830985915493</v>
      </c>
      <c r="H9" s="16">
        <f>AVERAGE(G3:G9)</f>
        <v>-0.638013781321854</v>
      </c>
      <c r="I9" s="31"/>
    </row>
    <row r="10" ht="20.05" customHeight="1">
      <c r="A10" s="32"/>
      <c r="B10" s="17">
        <f>B9</f>
        <v>71</v>
      </c>
      <c r="C10" s="31"/>
      <c r="D10" s="31">
        <f>D9</f>
        <v>6.8</v>
      </c>
      <c r="E10" s="31">
        <f>E9</f>
        <v>16.5</v>
      </c>
      <c r="F10" s="16">
        <f>B10/B9-1</f>
        <v>0</v>
      </c>
      <c r="G10" s="16">
        <f>(E10+D10-B10)/B10</f>
        <v>-0.671830985915493</v>
      </c>
      <c r="H10" s="16">
        <f>AVERAGE(G4:G10)</f>
        <v>-0.65204536349713</v>
      </c>
      <c r="I10" s="31"/>
    </row>
    <row r="11" ht="20.05" customHeight="1">
      <c r="A11" s="32"/>
      <c r="B11" s="17">
        <f>'Data'!E9-'Data'!E8</f>
        <v>95</v>
      </c>
      <c r="C11" s="31"/>
      <c r="D11" s="31">
        <f>D10</f>
        <v>6.8</v>
      </c>
      <c r="E11" s="31">
        <f>'Data'!G9-'Data'!G8</f>
        <v>24</v>
      </c>
      <c r="F11" s="16">
        <f>B11/B10-1</f>
        <v>0.338028169014085</v>
      </c>
      <c r="G11" s="16">
        <f>(E11+D11-B11)/B11</f>
        <v>-0.6757894736842111</v>
      </c>
      <c r="H11" s="16">
        <f>AVERAGE(G5:G11)</f>
        <v>-0.660072624769937</v>
      </c>
      <c r="I11" s="31"/>
    </row>
    <row r="12" ht="20.05" customHeight="1">
      <c r="A12" s="32"/>
      <c r="B12" s="17">
        <f>'Data'!E10-'Data'!E9</f>
        <v>109</v>
      </c>
      <c r="C12" s="31">
        <v>98</v>
      </c>
      <c r="D12" s="31">
        <f>D11</f>
        <v>6.8</v>
      </c>
      <c r="E12" s="31">
        <f>'Data'!G10-'Data'!G9</f>
        <v>18</v>
      </c>
      <c r="F12" s="16">
        <f>B12/B11-1</f>
        <v>0.147368421052632</v>
      </c>
      <c r="G12" s="16">
        <f>(E12+D12-B12)/B12</f>
        <v>-0.772477064220183</v>
      </c>
      <c r="H12" s="16">
        <f>AVERAGE(G9:G12)</f>
        <v>-0.697982127433845</v>
      </c>
      <c r="I12" s="16">
        <f>H12</f>
        <v>-0.697982127433845</v>
      </c>
    </row>
    <row r="13" ht="20.05" customHeight="1">
      <c r="A13" s="33">
        <v>2022</v>
      </c>
      <c r="B13" s="17"/>
      <c r="C13" s="31">
        <f>'Model'!B5</f>
        <v>110.09</v>
      </c>
      <c r="D13" s="31"/>
      <c r="E13" s="31"/>
      <c r="F13" s="31"/>
      <c r="G13" s="31"/>
      <c r="H13" s="31"/>
      <c r="I13" s="16">
        <f>'Model'!B6</f>
        <v>-0.6757894736842111</v>
      </c>
    </row>
    <row r="14" ht="20.05" customHeight="1">
      <c r="A14" s="34"/>
      <c r="B14" s="17"/>
      <c r="C14" s="31">
        <f>'Model'!C5</f>
        <v>113.3927</v>
      </c>
      <c r="D14" s="31"/>
      <c r="E14" s="31"/>
      <c r="F14" s="31"/>
      <c r="G14" s="31"/>
      <c r="H14" s="31"/>
      <c r="I14" s="31"/>
    </row>
    <row r="15" ht="20.05" customHeight="1">
      <c r="A15" s="34"/>
      <c r="B15" s="17"/>
      <c r="C15" s="31">
        <f>'Model'!D5</f>
        <v>116.794481</v>
      </c>
      <c r="D15" s="31"/>
      <c r="E15" s="31"/>
      <c r="F15" s="31"/>
      <c r="G15" s="31"/>
      <c r="H15" s="31"/>
      <c r="I15" s="31"/>
    </row>
    <row r="16" ht="20.05" customHeight="1">
      <c r="A16" s="34"/>
      <c r="B16" s="17"/>
      <c r="C16" s="31">
        <f>'Model'!E5</f>
        <v>120.29831543</v>
      </c>
      <c r="D16" s="31"/>
      <c r="E16" s="31"/>
      <c r="F16" s="31"/>
      <c r="G16" s="31"/>
      <c r="H16" s="31"/>
      <c r="I16" s="31"/>
    </row>
    <row r="17" ht="20.05" customHeight="1">
      <c r="A17" s="34"/>
      <c r="B17" s="17"/>
      <c r="C17" s="31"/>
      <c r="D17" s="31"/>
      <c r="E17" s="31"/>
      <c r="F17" s="31"/>
      <c r="G17" s="31"/>
      <c r="H17" s="31"/>
      <c r="I17" s="31"/>
    </row>
    <row r="18" ht="20.05" customHeight="1">
      <c r="A18" s="34"/>
      <c r="B18" s="17"/>
      <c r="C18" s="31"/>
      <c r="D18" s="31"/>
      <c r="E18" s="31"/>
      <c r="F18" s="31"/>
      <c r="G18" s="31"/>
      <c r="H18" s="31"/>
      <c r="I18" s="31"/>
    </row>
    <row r="19" ht="20.05" customHeight="1">
      <c r="A19" s="34"/>
      <c r="B19" s="17"/>
      <c r="C19" s="31"/>
      <c r="D19" s="31"/>
      <c r="E19" s="31"/>
      <c r="F19" s="31"/>
      <c r="G19" s="31"/>
      <c r="H19" s="31"/>
      <c r="I19" s="31"/>
    </row>
    <row r="20" ht="20.05" customHeight="1">
      <c r="A20" s="34"/>
      <c r="B20" s="17"/>
      <c r="C20" s="31"/>
      <c r="D20" s="31"/>
      <c r="E20" s="31"/>
      <c r="F20" s="31"/>
      <c r="G20" s="31"/>
      <c r="H20" s="31"/>
      <c r="I20" s="31"/>
    </row>
    <row r="21" ht="20.05" customHeight="1">
      <c r="A21" s="34"/>
      <c r="B21" s="17"/>
      <c r="C21" s="31"/>
      <c r="D21" s="31"/>
      <c r="E21" s="31"/>
      <c r="F21" s="31"/>
      <c r="G21" s="31"/>
      <c r="H21" s="31"/>
      <c r="I21" s="31"/>
    </row>
  </sheetData>
  <mergeCells count="1">
    <mergeCell ref="A1:I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N1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53906" style="35" customWidth="1"/>
    <col min="2" max="14" width="11.1406" style="35" customWidth="1"/>
    <col min="15" max="16384" width="16.3516" style="35" customWidth="1"/>
  </cols>
  <sheetData>
    <row r="1" ht="23.05" customHeight="1"/>
    <row r="2" ht="27.65" customHeight="1">
      <c r="B2" t="s" s="2">
        <v>41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2.25" customHeight="1">
      <c r="B3" t="s" s="5">
        <v>1</v>
      </c>
      <c r="C3" t="s" s="5">
        <v>42</v>
      </c>
      <c r="D3" t="s" s="5">
        <v>10</v>
      </c>
      <c r="E3" t="s" s="5">
        <v>43</v>
      </c>
      <c r="F3" t="s" s="5">
        <v>12</v>
      </c>
      <c r="G3" t="s" s="5">
        <v>15</v>
      </c>
      <c r="H3" t="s" s="5">
        <v>44</v>
      </c>
      <c r="I3" t="s" s="5">
        <v>45</v>
      </c>
      <c r="J3" t="s" s="5">
        <v>3</v>
      </c>
      <c r="K3" t="s" s="5">
        <v>32</v>
      </c>
      <c r="L3" t="s" s="5">
        <v>27</v>
      </c>
      <c r="M3" t="s" s="5">
        <v>32</v>
      </c>
      <c r="N3" s="36"/>
    </row>
    <row r="4" ht="20.25" customHeight="1">
      <c r="B4" s="37">
        <v>2020</v>
      </c>
      <c r="C4" s="38">
        <f>'Data'!H4/2</f>
        <v>66.3</v>
      </c>
      <c r="D4" s="39">
        <f>'Data'!I4/2</f>
        <v>7.35</v>
      </c>
      <c r="E4" s="39">
        <f>'Data'!J4/2</f>
        <v>-10.05</v>
      </c>
      <c r="F4" s="39">
        <f>'Data'!K4/2</f>
        <v>47.85</v>
      </c>
      <c r="G4" s="39">
        <f>'Data'!L4/2</f>
        <v>-37.1</v>
      </c>
      <c r="H4" s="39">
        <f>'Data'!M4/2</f>
        <v>-1.45</v>
      </c>
      <c r="I4" s="39">
        <f>D4+E4</f>
        <v>-2.7</v>
      </c>
      <c r="J4" s="8"/>
      <c r="K4" s="8"/>
      <c r="L4" s="39">
        <f>-(F4+G4)+95</f>
        <v>84.25</v>
      </c>
      <c r="M4" s="8"/>
      <c r="N4" s="39">
        <v>5</v>
      </c>
    </row>
    <row r="5" ht="20.05" customHeight="1">
      <c r="B5" s="34"/>
      <c r="C5" s="19">
        <f>C4</f>
        <v>66.3</v>
      </c>
      <c r="D5" s="18">
        <f>D4</f>
        <v>7.35</v>
      </c>
      <c r="E5" s="18">
        <f>E4</f>
        <v>-10.05</v>
      </c>
      <c r="F5" s="18">
        <f>F4</f>
        <v>47.85</v>
      </c>
      <c r="G5" s="18">
        <f>G4</f>
        <v>-37.1</v>
      </c>
      <c r="H5" s="18">
        <f>H4</f>
        <v>-1.45</v>
      </c>
      <c r="I5" s="18">
        <f>D5+E5</f>
        <v>-2.7</v>
      </c>
      <c r="J5" s="18">
        <f>AVERAGE(I3:I5)</f>
        <v>-2.7</v>
      </c>
      <c r="K5" s="20"/>
      <c r="L5" s="18">
        <f>-(F5+G5)+L4</f>
        <v>73.5</v>
      </c>
      <c r="M5" s="20"/>
      <c r="N5" s="18">
        <f>1+N4</f>
        <v>6</v>
      </c>
    </row>
    <row r="6" ht="20.05" customHeight="1">
      <c r="B6" s="34"/>
      <c r="C6" s="19">
        <f>'Data'!H5-'Data'!H4</f>
        <v>148.4</v>
      </c>
      <c r="D6" s="18">
        <f>'Data'!I5-'Data'!I4</f>
        <v>74.40000000000001</v>
      </c>
      <c r="E6" s="18">
        <f>'Data'!J5-'Data'!J4</f>
        <v>-19.6</v>
      </c>
      <c r="F6" s="18">
        <f>'Data'!K5-'Data'!K4</f>
        <v>-38.2</v>
      </c>
      <c r="G6" s="18">
        <f>'Data'!L5-'Data'!L4</f>
        <v>0</v>
      </c>
      <c r="H6" s="18">
        <f>'Data'!M5-'Data'!M4</f>
        <v>-39.4</v>
      </c>
      <c r="I6" s="18">
        <f>D6+E6</f>
        <v>54.8</v>
      </c>
      <c r="J6" s="18">
        <f>AVERAGE(I3:I6)</f>
        <v>16.4666666666667</v>
      </c>
      <c r="K6" s="20"/>
      <c r="L6" s="18">
        <f>-(F6+G6)+L5</f>
        <v>111.7</v>
      </c>
      <c r="M6" s="20"/>
      <c r="N6" s="18">
        <f>1+N5</f>
        <v>7</v>
      </c>
    </row>
    <row r="7" ht="20.05" customHeight="1">
      <c r="B7" s="34"/>
      <c r="C7" s="19">
        <f>'Data'!H6-'Data'!H5</f>
        <v>121</v>
      </c>
      <c r="D7" s="18">
        <f>'Data'!I6-'Data'!I5</f>
        <v>66.59999999999999</v>
      </c>
      <c r="E7" s="18">
        <f>'Data'!J6-'Data'!J5</f>
        <v>-46.1</v>
      </c>
      <c r="F7" s="18">
        <f>'Data'!K6-'Data'!K5</f>
        <v>3.5</v>
      </c>
      <c r="G7" s="18">
        <f>'Data'!L6-'Data'!L5</f>
        <v>-128</v>
      </c>
      <c r="H7" s="18">
        <f>'Data'!M6-'Data'!M5</f>
        <v>-35.8</v>
      </c>
      <c r="I7" s="18">
        <f>D7+E7</f>
        <v>20.5</v>
      </c>
      <c r="J7" s="18">
        <f>AVERAGE(I4:I7)</f>
        <v>17.475</v>
      </c>
      <c r="K7" s="20"/>
      <c r="L7" s="18">
        <f>-(F7+G7)+L6</f>
        <v>236.2</v>
      </c>
      <c r="M7" s="20"/>
      <c r="N7" s="18">
        <f>1+N6</f>
        <v>8</v>
      </c>
    </row>
    <row r="8" ht="20.05" customHeight="1">
      <c r="B8" s="33">
        <v>22021</v>
      </c>
      <c r="C8" s="19">
        <f>'Data'!H8/2</f>
        <v>73.5</v>
      </c>
      <c r="D8" s="18">
        <f>'Data'!I8/2</f>
        <v>32.2</v>
      </c>
      <c r="E8" s="18">
        <f>'Data'!J8/2</f>
        <v>-37.85</v>
      </c>
      <c r="F8" s="18">
        <f>'Data'!K8/2</f>
        <v>-8.300000000000001</v>
      </c>
      <c r="G8" s="18">
        <f>'Data'!L8/2</f>
        <v>32.2</v>
      </c>
      <c r="H8" s="18">
        <f>'Data'!M8/2</f>
        <v>-63.5</v>
      </c>
      <c r="I8" s="18">
        <f>D8+E8</f>
        <v>-5.65</v>
      </c>
      <c r="J8" s="18">
        <f>AVERAGE(I5:I8)</f>
        <v>16.7375</v>
      </c>
      <c r="K8" s="20"/>
      <c r="L8" s="18">
        <f>-(F8+G8)+L7</f>
        <v>212.3</v>
      </c>
      <c r="M8" s="20"/>
      <c r="N8" s="18">
        <f>1+N7</f>
        <v>9</v>
      </c>
    </row>
    <row r="9" ht="20.05" customHeight="1">
      <c r="B9" s="34"/>
      <c r="C9" s="19">
        <f>C8</f>
        <v>73.5</v>
      </c>
      <c r="D9" s="18">
        <f>D8</f>
        <v>32.2</v>
      </c>
      <c r="E9" s="18">
        <f>E8</f>
        <v>-37.85</v>
      </c>
      <c r="F9" s="18">
        <f>F8</f>
        <v>-8.300000000000001</v>
      </c>
      <c r="G9" s="18">
        <f>G8</f>
        <v>32.2</v>
      </c>
      <c r="H9" s="18">
        <f>H8</f>
        <v>-63.5</v>
      </c>
      <c r="I9" s="18">
        <f>D9+E9</f>
        <v>-5.65</v>
      </c>
      <c r="J9" s="18">
        <f>AVERAGE(I6:I9)</f>
        <v>16</v>
      </c>
      <c r="K9" s="20"/>
      <c r="L9" s="18">
        <f>-(F9+G9)+L8</f>
        <v>188.4</v>
      </c>
      <c r="M9" s="20"/>
      <c r="N9" s="18">
        <f>1+N8</f>
        <v>10</v>
      </c>
    </row>
    <row r="10" ht="20.05" customHeight="1">
      <c r="B10" s="34"/>
      <c r="C10" s="19">
        <f>'Data'!H9-'Data'!H8</f>
        <v>93.7</v>
      </c>
      <c r="D10" s="18">
        <f>'Data'!I9-'Data'!I8</f>
        <v>49.8</v>
      </c>
      <c r="E10" s="18">
        <f>'Data'!J9-'Data'!J8</f>
        <v>-27.5</v>
      </c>
      <c r="F10" s="18">
        <f>'Data'!K9-'Data'!K8</f>
        <v>-76.2</v>
      </c>
      <c r="G10" s="18">
        <f>'Data'!L9-'Data'!L8</f>
        <v>0</v>
      </c>
      <c r="H10" s="18">
        <f>'Data'!M9-'Data'!M8</f>
        <v>97.5</v>
      </c>
      <c r="I10" s="18">
        <f>D10+E10</f>
        <v>22.3</v>
      </c>
      <c r="J10" s="18">
        <f>AVERAGE(I7:I10)</f>
        <v>7.875</v>
      </c>
      <c r="K10" s="20"/>
      <c r="L10" s="18">
        <f>-(F10+G10)+L9</f>
        <v>264.6</v>
      </c>
      <c r="M10" s="20"/>
      <c r="N10" s="18">
        <f>1+N9</f>
        <v>11</v>
      </c>
    </row>
    <row r="11" ht="20.05" customHeight="1">
      <c r="B11" s="34"/>
      <c r="C11" s="19">
        <f>'Data'!H10-'Data'!H9</f>
        <v>112.3</v>
      </c>
      <c r="D11" s="18">
        <f>'Data'!I10-'Data'!I9</f>
        <v>10</v>
      </c>
      <c r="E11" s="18">
        <f>'Data'!J10-'Data'!J9</f>
        <v>-15</v>
      </c>
      <c r="F11" s="18">
        <f>'Data'!K10-'Data'!K9</f>
        <v>-2.2</v>
      </c>
      <c r="G11" s="18">
        <f>'Data'!L10-'Data'!L9</f>
        <v>-1.8</v>
      </c>
      <c r="H11" s="18">
        <f>'Data'!M10-'Data'!M9</f>
        <v>-4.4</v>
      </c>
      <c r="I11" s="18">
        <f>D11+E11</f>
        <v>-5</v>
      </c>
      <c r="J11" s="18">
        <f>AVERAGE(I8:I11)</f>
        <v>1.5</v>
      </c>
      <c r="K11" s="18">
        <f>J11</f>
        <v>1.5</v>
      </c>
      <c r="L11" s="18">
        <f>-(F11+G11)+L10</f>
        <v>268.6</v>
      </c>
      <c r="M11" s="18">
        <f>L11</f>
        <v>268.6</v>
      </c>
      <c r="N11" s="18">
        <f>1+N10</f>
        <v>12</v>
      </c>
    </row>
    <row r="12" ht="20.05" customHeight="1">
      <c r="B12" s="33">
        <v>2022</v>
      </c>
      <c r="C12" s="22"/>
      <c r="D12" s="20"/>
      <c r="E12" s="20"/>
      <c r="F12" s="20"/>
      <c r="G12" s="20"/>
      <c r="H12" s="20"/>
      <c r="I12" s="20"/>
      <c r="J12" s="20"/>
      <c r="K12" s="18">
        <f>SUM('Model'!E10:E11)</f>
        <v>24.0019801604631</v>
      </c>
      <c r="L12" s="20"/>
      <c r="M12" s="18">
        <f>'Model'!E30</f>
        <v>362.970320947831</v>
      </c>
      <c r="N12" s="20"/>
    </row>
  </sheetData>
  <mergeCells count="1">
    <mergeCell ref="B2:N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1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0" width="9.90625" style="40" customWidth="1"/>
    <col min="11" max="16384" width="16.3516" style="40" customWidth="1"/>
  </cols>
  <sheetData>
    <row r="1" ht="27.65" customHeight="1">
      <c r="A1" t="s" s="2">
        <v>46</v>
      </c>
      <c r="B1" s="2"/>
      <c r="C1" s="2"/>
      <c r="D1" s="2"/>
      <c r="E1" s="2"/>
      <c r="F1" s="2"/>
      <c r="G1" s="2"/>
      <c r="H1" s="2"/>
      <c r="I1" s="2"/>
      <c r="J1" s="2"/>
    </row>
    <row r="2" ht="32.25" customHeight="1">
      <c r="A2" t="s" s="5">
        <v>1</v>
      </c>
      <c r="B2" t="s" s="5">
        <v>47</v>
      </c>
      <c r="C2" t="s" s="5">
        <v>48</v>
      </c>
      <c r="D2" t="s" s="5">
        <v>49</v>
      </c>
      <c r="E2" t="s" s="5">
        <v>22</v>
      </c>
      <c r="F2" t="s" s="5">
        <v>12</v>
      </c>
      <c r="G2" t="s" s="5">
        <v>15</v>
      </c>
      <c r="H2" t="s" s="5">
        <v>23</v>
      </c>
      <c r="I2" t="s" s="5">
        <v>24</v>
      </c>
      <c r="J2" t="s" s="5">
        <v>32</v>
      </c>
    </row>
    <row r="3" ht="20.25" customHeight="1">
      <c r="A3" s="37">
        <v>2020</v>
      </c>
      <c r="B3" s="41"/>
      <c r="C3" s="8"/>
      <c r="D3" s="8"/>
      <c r="E3" s="8"/>
      <c r="F3" s="8"/>
      <c r="G3" s="8"/>
      <c r="H3" s="8"/>
      <c r="I3" s="8"/>
      <c r="J3" s="8"/>
    </row>
    <row r="4" ht="20.05" customHeight="1">
      <c r="A4" s="34"/>
      <c r="B4" s="22"/>
      <c r="C4" s="20"/>
      <c r="D4" s="20"/>
      <c r="E4" s="20"/>
      <c r="F4" s="20"/>
      <c r="G4" s="20"/>
      <c r="H4" s="20"/>
      <c r="I4" s="20"/>
      <c r="J4" s="20"/>
    </row>
    <row r="5" ht="20.05" customHeight="1">
      <c r="A5" s="34"/>
      <c r="B5" s="22"/>
      <c r="C5" s="20"/>
      <c r="D5" s="20"/>
      <c r="E5" s="20"/>
      <c r="F5" s="20"/>
      <c r="G5" s="20"/>
      <c r="H5" s="20"/>
      <c r="I5" s="20"/>
      <c r="J5" s="20"/>
    </row>
    <row r="6" ht="20.05" customHeight="1">
      <c r="A6" s="34"/>
      <c r="B6" s="19">
        <v>40</v>
      </c>
      <c r="C6" s="31">
        <v>600</v>
      </c>
      <c r="D6" s="31">
        <f>C6-B6</f>
        <v>560</v>
      </c>
      <c r="E6" s="20"/>
      <c r="F6" s="31">
        <v>506</v>
      </c>
      <c r="G6" s="31">
        <f>C6-F6</f>
        <v>94</v>
      </c>
      <c r="H6" s="31">
        <f>B6+D6-F6-G6</f>
        <v>0</v>
      </c>
      <c r="I6" s="31">
        <f>B6-F6</f>
        <v>-466</v>
      </c>
      <c r="J6" s="31"/>
    </row>
    <row r="7" ht="20.05" customHeight="1">
      <c r="A7" s="33">
        <v>22021</v>
      </c>
      <c r="B7" s="19">
        <f>B6+'Cashflow '!D8+'Cashflow '!E8+'Cashflow '!H8</f>
        <v>-29.15</v>
      </c>
      <c r="C7" s="31">
        <v>600</v>
      </c>
      <c r="D7" s="31">
        <f>C7-B7</f>
        <v>629.15</v>
      </c>
      <c r="E7" s="20"/>
      <c r="F7" s="31">
        <f>F6</f>
        <v>506</v>
      </c>
      <c r="G7" s="31">
        <f>C7-F7</f>
        <v>94</v>
      </c>
      <c r="H7" s="31">
        <f>B7+D7-F7-G7</f>
        <v>0</v>
      </c>
      <c r="I7" s="31">
        <f>B7-F7</f>
        <v>-535.15</v>
      </c>
      <c r="J7" s="31"/>
    </row>
    <row r="8" ht="20.05" customHeight="1">
      <c r="A8" s="34"/>
      <c r="B8" s="19">
        <f>B7+'Cashflow '!D9+'Cashflow '!E9+'Cashflow '!H9</f>
        <v>-98.3</v>
      </c>
      <c r="C8" s="31">
        <v>714</v>
      </c>
      <c r="D8" s="31">
        <f>C8-B8</f>
        <v>812.3</v>
      </c>
      <c r="E8" s="20"/>
      <c r="F8" s="31">
        <v>525</v>
      </c>
      <c r="G8" s="31">
        <f>C8-F8</f>
        <v>189</v>
      </c>
      <c r="H8" s="31">
        <f>B8+D8-F8-G8</f>
        <v>0</v>
      </c>
      <c r="I8" s="31">
        <f>B8-F8</f>
        <v>-623.3</v>
      </c>
      <c r="J8" s="31"/>
    </row>
    <row r="9" ht="20.05" customHeight="1">
      <c r="A9" s="34"/>
      <c r="B9" s="19">
        <f>B8+'Cashflow '!D10+'Cashflow '!E10+'Cashflow '!H10</f>
        <v>21.5</v>
      </c>
      <c r="C9" s="31">
        <v>682</v>
      </c>
      <c r="D9" s="31">
        <f>C9-B9</f>
        <v>660.5</v>
      </c>
      <c r="E9" s="20"/>
      <c r="F9" s="31">
        <v>468</v>
      </c>
      <c r="G9" s="31">
        <f>C9-F9</f>
        <v>214</v>
      </c>
      <c r="H9" s="31">
        <f>B9+D9-F9-G9</f>
        <v>0</v>
      </c>
      <c r="I9" s="31">
        <f>B9-F9</f>
        <v>-446.5</v>
      </c>
      <c r="J9" s="31"/>
    </row>
    <row r="10" ht="20.05" customHeight="1">
      <c r="A10" s="34"/>
      <c r="B10" s="19">
        <f>B9+'Cashflow '!D11+'Cashflow '!E11+'Cashflow '!H11</f>
        <v>12.1</v>
      </c>
      <c r="C10" s="31">
        <v>690</v>
      </c>
      <c r="D10" s="31">
        <f>C10-B10</f>
        <v>677.9</v>
      </c>
      <c r="E10" s="18">
        <v>383</v>
      </c>
      <c r="F10" s="31">
        <v>457</v>
      </c>
      <c r="G10" s="31">
        <f>C10-F10</f>
        <v>233</v>
      </c>
      <c r="H10" s="31">
        <f>B10+D10-F10-G10</f>
        <v>0</v>
      </c>
      <c r="I10" s="31">
        <f>B10-F10</f>
        <v>-444.9</v>
      </c>
      <c r="J10" s="31">
        <f>I10</f>
        <v>-444.9</v>
      </c>
    </row>
    <row r="11" ht="20.05" customHeight="1">
      <c r="A11" s="33">
        <v>2022</v>
      </c>
      <c r="B11" s="22"/>
      <c r="C11" s="20"/>
      <c r="D11" s="20"/>
      <c r="E11" s="20"/>
      <c r="F11" s="20"/>
      <c r="G11" s="20"/>
      <c r="H11" s="20"/>
      <c r="I11" s="20"/>
      <c r="J11" s="18">
        <f>'Model'!E27</f>
        <v>-367.788918304847</v>
      </c>
    </row>
  </sheetData>
  <mergeCells count="1">
    <mergeCell ref="A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1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4" width="10.4688" style="42" customWidth="1"/>
    <col min="5" max="16384" width="16.3516" style="42" customWidth="1"/>
  </cols>
  <sheetData>
    <row r="1" ht="27.65" customHeight="1">
      <c r="A1" t="s" s="2">
        <v>50</v>
      </c>
      <c r="B1" s="2"/>
      <c r="C1" s="2"/>
      <c r="D1" s="2"/>
    </row>
    <row r="2" ht="20.25" customHeight="1">
      <c r="A2" s="36"/>
      <c r="B2" t="s" s="5">
        <v>51</v>
      </c>
      <c r="C2" t="s" s="5">
        <v>35</v>
      </c>
      <c r="D2" t="s" s="5">
        <v>52</v>
      </c>
    </row>
    <row r="3" ht="20.25" customHeight="1">
      <c r="A3" s="37">
        <v>2021</v>
      </c>
      <c r="B3" s="43"/>
      <c r="C3" s="27"/>
      <c r="D3" s="27"/>
    </row>
    <row r="4" ht="20.05" customHeight="1">
      <c r="A4" s="34"/>
      <c r="B4" s="13">
        <v>750</v>
      </c>
      <c r="C4" s="14"/>
      <c r="D4" s="14"/>
    </row>
    <row r="5" ht="20.05" customHeight="1">
      <c r="A5" s="34"/>
      <c r="B5" s="13">
        <v>656</v>
      </c>
      <c r="C5" s="14"/>
      <c r="D5" s="14"/>
    </row>
    <row r="6" ht="20.05" customHeight="1">
      <c r="A6" s="34"/>
      <c r="B6" s="13">
        <v>550</v>
      </c>
      <c r="C6" s="14"/>
      <c r="D6" s="14"/>
    </row>
    <row r="7" ht="20.05" customHeight="1">
      <c r="A7" s="33">
        <v>2022</v>
      </c>
      <c r="B7" s="13">
        <v>478</v>
      </c>
      <c r="C7" s="14"/>
      <c r="D7" s="14"/>
    </row>
    <row r="8" ht="20.05" customHeight="1">
      <c r="A8" s="34"/>
      <c r="B8" s="13">
        <v>470</v>
      </c>
      <c r="C8" s="14">
        <f>B8</f>
        <v>470</v>
      </c>
      <c r="D8" s="14">
        <v>624</v>
      </c>
    </row>
    <row r="9" ht="20.05" customHeight="1">
      <c r="A9" s="34"/>
      <c r="B9" s="13"/>
      <c r="C9" s="14">
        <f>'Model'!E41</f>
        <v>503.534496221889</v>
      </c>
      <c r="D9" s="14"/>
    </row>
    <row r="10" ht="20.05" customHeight="1">
      <c r="A10" s="34"/>
      <c r="B10" s="13"/>
      <c r="C10" s="14"/>
      <c r="D10" s="14"/>
    </row>
    <row r="11" ht="20.05" customHeight="1">
      <c r="A11" s="34"/>
      <c r="B11" s="13"/>
      <c r="C11" s="14"/>
      <c r="D11" s="14"/>
    </row>
  </sheetData>
  <mergeCells count="1">
    <mergeCell ref="A1:D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K3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4.6797" style="44" customWidth="1"/>
    <col min="2" max="11" width="9.875" style="44" customWidth="1"/>
    <col min="12" max="16384" width="16.3516" style="44" customWidth="1"/>
  </cols>
  <sheetData>
    <row r="1" ht="27.65" customHeight="1">
      <c r="A1" t="s" s="2">
        <v>53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25" customHeight="1">
      <c r="A2" t="s" s="45">
        <v>1</v>
      </c>
      <c r="B2" s="46">
        <v>3018</v>
      </c>
      <c r="C2" s="46">
        <v>2019</v>
      </c>
      <c r="D2" s="46">
        <v>2020</v>
      </c>
      <c r="E2" t="s" s="5">
        <v>54</v>
      </c>
      <c r="F2" t="s" s="5">
        <v>55</v>
      </c>
      <c r="G2" t="s" s="5">
        <v>56</v>
      </c>
      <c r="H2" s="46">
        <v>2022</v>
      </c>
      <c r="I2" s="36"/>
      <c r="J2" s="36"/>
      <c r="K2" s="36"/>
    </row>
    <row r="3" ht="20.25" customHeight="1">
      <c r="A3" t="s" s="6">
        <v>4</v>
      </c>
      <c r="B3" s="26"/>
      <c r="C3" s="29">
        <f>C4/B4-1</f>
        <v>0.105445116681072</v>
      </c>
      <c r="D3" s="29">
        <f>D4/C4-1</f>
        <v>0.0250195465207193</v>
      </c>
      <c r="E3" s="29">
        <f>E4/130-1</f>
        <v>0.0950769230769231</v>
      </c>
      <c r="F3" s="29">
        <f>F4/145-1</f>
        <v>-0.350758620689655</v>
      </c>
      <c r="G3" s="29">
        <f>G4/145-1</f>
        <v>1.44758620689655</v>
      </c>
      <c r="H3" s="29"/>
      <c r="I3" s="29"/>
      <c r="J3" s="29"/>
      <c r="K3" s="29"/>
    </row>
    <row r="4" ht="20.05" customHeight="1">
      <c r="A4" t="s" s="21">
        <v>5</v>
      </c>
      <c r="B4" s="17">
        <v>347.1</v>
      </c>
      <c r="C4" s="31">
        <v>383.7</v>
      </c>
      <c r="D4" s="31">
        <v>393.3</v>
      </c>
      <c r="E4" s="31">
        <v>142.36</v>
      </c>
      <c r="F4" s="31">
        <f>236.5-E4</f>
        <v>94.14</v>
      </c>
      <c r="G4" s="31">
        <f>354.9</f>
        <v>354.9</v>
      </c>
      <c r="H4" s="31"/>
      <c r="I4" s="31"/>
      <c r="J4" s="31"/>
      <c r="K4" s="31"/>
    </row>
    <row r="5" ht="20.05" customHeight="1">
      <c r="A5" t="s" s="21">
        <v>57</v>
      </c>
      <c r="B5" s="17">
        <f>B4/4</f>
        <v>86.77500000000001</v>
      </c>
      <c r="C5" s="31">
        <f>C4/4</f>
        <v>95.925</v>
      </c>
      <c r="D5" s="31">
        <f>D4/4</f>
        <v>98.325</v>
      </c>
      <c r="E5" s="31">
        <f>E4/2</f>
        <v>71.18000000000001</v>
      </c>
      <c r="F5" s="31">
        <f>F4</f>
        <v>94.14</v>
      </c>
      <c r="G5" s="31">
        <f>G4-236.5</f>
        <v>118.4</v>
      </c>
      <c r="H5" s="31"/>
      <c r="I5" s="31"/>
      <c r="J5" s="31"/>
      <c r="K5" s="31"/>
    </row>
    <row r="6" ht="20.05" customHeight="1">
      <c r="A6" t="s" s="21">
        <v>32</v>
      </c>
      <c r="B6" s="17"/>
      <c r="C6" s="31"/>
      <c r="D6" s="31"/>
      <c r="E6" s="31"/>
      <c r="F6" s="31"/>
      <c r="G6" s="31">
        <v>97.90560000000001</v>
      </c>
      <c r="H6" s="31">
        <f>'Model'!B5</f>
        <v>110.09</v>
      </c>
      <c r="I6" s="31">
        <f>'Model'!C5</f>
        <v>113.3927</v>
      </c>
      <c r="J6" s="31">
        <f>'Model'!D5</f>
        <v>116.794481</v>
      </c>
      <c r="K6" s="31">
        <f>'Model'!E5</f>
        <v>120.29831543</v>
      </c>
    </row>
    <row r="7" ht="20.05" customHeight="1">
      <c r="A7" t="s" s="21">
        <v>42</v>
      </c>
      <c r="B7" s="17">
        <v>351.8</v>
      </c>
      <c r="C7" s="31">
        <v>391.3</v>
      </c>
      <c r="D7" s="31">
        <v>401.5</v>
      </c>
      <c r="E7" s="31">
        <v>146.6</v>
      </c>
      <c r="F7" s="31">
        <f>240.7-E7</f>
        <v>94.09999999999999</v>
      </c>
      <c r="G7" s="31">
        <v>112.7</v>
      </c>
      <c r="H7" s="31"/>
      <c r="I7" s="31"/>
      <c r="J7" s="31"/>
      <c r="K7" s="31"/>
    </row>
    <row r="8" ht="20.05" customHeight="1">
      <c r="A8" t="s" s="21">
        <v>10</v>
      </c>
      <c r="B8" s="17">
        <v>116.4</v>
      </c>
      <c r="C8" s="31">
        <v>168.8</v>
      </c>
      <c r="D8" s="31">
        <v>155.65</v>
      </c>
      <c r="E8" s="31">
        <v>64.39</v>
      </c>
      <c r="F8" s="31">
        <f>114.2-E8</f>
        <v>49.81</v>
      </c>
      <c r="G8" s="31">
        <v>10</v>
      </c>
      <c r="H8" s="31"/>
      <c r="I8" s="31"/>
      <c r="J8" s="31"/>
      <c r="K8" s="31"/>
    </row>
    <row r="9" ht="20.05" customHeight="1">
      <c r="A9" t="s" s="21">
        <v>11</v>
      </c>
      <c r="B9" s="17">
        <v>-71.40000000000001</v>
      </c>
      <c r="C9" s="31">
        <v>-41.2</v>
      </c>
      <c r="D9" s="31">
        <v>-85.78</v>
      </c>
      <c r="E9" s="31">
        <v>-75.65000000000001</v>
      </c>
      <c r="F9" s="31">
        <f>-103.2-E9</f>
        <v>-27.55</v>
      </c>
      <c r="G9" s="31">
        <v>-15</v>
      </c>
      <c r="H9" s="31"/>
      <c r="I9" s="31"/>
      <c r="J9" s="31"/>
      <c r="K9" s="31"/>
    </row>
    <row r="10" ht="20.05" customHeight="1">
      <c r="A10" t="s" s="21">
        <v>12</v>
      </c>
      <c r="B10" s="17">
        <f>-80.3-B11</f>
        <v>19.5</v>
      </c>
      <c r="C10" s="31">
        <f>-94.989-C11</f>
        <v>-19.989</v>
      </c>
      <c r="D10" s="31">
        <f>-78.07-D11</f>
        <v>124.086</v>
      </c>
      <c r="E10" s="31">
        <v>-12.67</v>
      </c>
      <c r="F10" s="31">
        <f>-29.447-F11-E10</f>
        <v>-81.17700000000001</v>
      </c>
      <c r="G10" s="31">
        <v>-2.653</v>
      </c>
      <c r="H10" s="31"/>
      <c r="I10" s="31"/>
      <c r="J10" s="31"/>
      <c r="K10" s="31"/>
    </row>
    <row r="11" ht="20.05" customHeight="1">
      <c r="A11" t="s" s="21">
        <v>15</v>
      </c>
      <c r="B11" s="17">
        <v>-99.8</v>
      </c>
      <c r="C11" s="31">
        <v>-75</v>
      </c>
      <c r="D11" s="31">
        <v>-202.156</v>
      </c>
      <c r="E11" s="31"/>
      <c r="F11" s="31">
        <v>64.40000000000001</v>
      </c>
      <c r="G11" s="31">
        <v>-1.8</v>
      </c>
      <c r="H11" s="31"/>
      <c r="I11" s="31"/>
      <c r="J11" s="31"/>
      <c r="K11" s="31"/>
    </row>
    <row r="12" ht="20.05" customHeight="1">
      <c r="A12" t="s" s="21">
        <v>17</v>
      </c>
      <c r="B12" s="17">
        <v>51</v>
      </c>
      <c r="C12" s="31">
        <f>B14</f>
        <v>15.7</v>
      </c>
      <c r="D12" s="31">
        <f>C14</f>
        <v>48.311</v>
      </c>
      <c r="E12" s="31">
        <f>D14</f>
        <v>40.111</v>
      </c>
      <c r="F12" s="31">
        <f>E14</f>
        <v>16.181</v>
      </c>
      <c r="G12" s="31">
        <f>F14</f>
        <v>21.364</v>
      </c>
      <c r="H12" s="31"/>
      <c r="I12" s="31"/>
      <c r="J12" s="31"/>
      <c r="K12" s="31"/>
    </row>
    <row r="13" ht="20.05" customHeight="1">
      <c r="A13" t="s" s="21">
        <v>18</v>
      </c>
      <c r="B13" s="17">
        <f>B8+B9+B10+B11</f>
        <v>-35.3</v>
      </c>
      <c r="C13" s="31">
        <f>C8+C9+C10+C11</f>
        <v>32.611</v>
      </c>
      <c r="D13" s="31">
        <f>D8+D9+D10+D11</f>
        <v>-8.199999999999999</v>
      </c>
      <c r="E13" s="31">
        <f>E8+E9+E10+E11</f>
        <v>-23.93</v>
      </c>
      <c r="F13" s="31">
        <f>-0.3+F8+F9+F10+F11</f>
        <v>5.183</v>
      </c>
      <c r="G13" s="31">
        <f>-0.3+G8+G9+G10+G11</f>
        <v>-9.753</v>
      </c>
      <c r="H13" s="31"/>
      <c r="I13" s="31"/>
      <c r="J13" s="31"/>
      <c r="K13" s="31"/>
    </row>
    <row r="14" ht="20.05" customHeight="1">
      <c r="A14" t="s" s="21">
        <v>19</v>
      </c>
      <c r="B14" s="17">
        <f>B12+B13</f>
        <v>15.7</v>
      </c>
      <c r="C14" s="31">
        <f>C12+C13</f>
        <v>48.311</v>
      </c>
      <c r="D14" s="31">
        <f>D12+D13</f>
        <v>40.111</v>
      </c>
      <c r="E14" s="31">
        <f>E12+E13</f>
        <v>16.181</v>
      </c>
      <c r="F14" s="31">
        <f>F12+F13</f>
        <v>21.364</v>
      </c>
      <c r="G14" s="31">
        <f>G12+G13</f>
        <v>11.611</v>
      </c>
      <c r="H14" s="31"/>
      <c r="I14" s="31"/>
      <c r="J14" s="31"/>
      <c r="K14" s="31"/>
    </row>
    <row r="15" ht="20.05" customHeight="1">
      <c r="A15" s="34"/>
      <c r="B15" s="17"/>
      <c r="C15" s="31"/>
      <c r="D15" s="31"/>
      <c r="E15" s="31"/>
      <c r="F15" s="31"/>
      <c r="G15" s="31"/>
      <c r="H15" s="31"/>
      <c r="I15" s="31"/>
      <c r="J15" s="31"/>
      <c r="K15" s="31"/>
    </row>
    <row r="16" ht="20.05" customHeight="1">
      <c r="A16" t="s" s="21">
        <v>8</v>
      </c>
      <c r="B16" s="17">
        <v>44</v>
      </c>
      <c r="C16" s="31">
        <v>53</v>
      </c>
      <c r="D16" s="31">
        <v>25</v>
      </c>
      <c r="E16" s="31">
        <v>11.5</v>
      </c>
      <c r="F16" s="31">
        <f>20.6-E16</f>
        <v>9.1</v>
      </c>
      <c r="G16" s="31">
        <v>6.6</v>
      </c>
      <c r="H16" s="31"/>
      <c r="I16" s="31"/>
      <c r="J16" s="31"/>
      <c r="K16" s="31"/>
    </row>
    <row r="17" ht="20.05" customHeight="1">
      <c r="A17" t="s" s="21">
        <v>9</v>
      </c>
      <c r="B17" s="17">
        <v>104</v>
      </c>
      <c r="C17" s="31">
        <v>92.95999999999999</v>
      </c>
      <c r="D17" s="31">
        <v>123.3</v>
      </c>
      <c r="E17" s="31">
        <v>32</v>
      </c>
      <c r="F17" s="31">
        <f>57.3-E17</f>
        <v>25.3</v>
      </c>
      <c r="G17" s="31">
        <v>17.8</v>
      </c>
      <c r="H17" s="31"/>
      <c r="I17" s="31"/>
      <c r="J17" s="31"/>
      <c r="K17" s="31"/>
    </row>
    <row r="18" ht="20.05" customHeight="1">
      <c r="A18" t="s" s="21">
        <v>6</v>
      </c>
      <c r="B18" s="15">
        <f>(B16+B17-B4)/B4</f>
        <v>-0.573609910688562</v>
      </c>
      <c r="C18" s="16">
        <f>(C16+C17-C4)/C4</f>
        <v>-0.6195986447745629</v>
      </c>
      <c r="D18" s="16">
        <f>(D16+D17-D4)/D4</f>
        <v>-0.622934146961607</v>
      </c>
      <c r="E18" s="16">
        <f>(E17+E16-E4)/E4</f>
        <v>-0.694436639505479</v>
      </c>
      <c r="F18" s="16">
        <f>(F17+F16-F4)/F4</f>
        <v>-0.634586785638411</v>
      </c>
      <c r="G18" s="16">
        <f>(G17+G16-G4)/G4</f>
        <v>-0.931248238940547</v>
      </c>
      <c r="H18" s="16">
        <f>'Model'!B6</f>
        <v>-0.6757894736842111</v>
      </c>
      <c r="I18" s="16"/>
      <c r="J18" s="16"/>
      <c r="K18" s="16"/>
    </row>
    <row r="19" ht="20.05" customHeight="1">
      <c r="A19" s="34"/>
      <c r="B19" s="17"/>
      <c r="C19" s="31"/>
      <c r="D19" s="31"/>
      <c r="E19" s="31"/>
      <c r="F19" s="31"/>
      <c r="G19" s="31"/>
      <c r="H19" s="31"/>
      <c r="I19" s="31"/>
      <c r="J19" s="31"/>
      <c r="K19" s="31"/>
    </row>
    <row r="20" ht="20.05" customHeight="1">
      <c r="A20" t="s" s="21">
        <v>58</v>
      </c>
      <c r="B20" s="17">
        <v>635.7</v>
      </c>
      <c r="C20" s="31">
        <v>613.4</v>
      </c>
      <c r="D20" s="31">
        <v>600.2</v>
      </c>
      <c r="E20" s="31">
        <v>713.7</v>
      </c>
      <c r="F20" s="31">
        <v>682.1</v>
      </c>
      <c r="G20" s="31">
        <v>690</v>
      </c>
      <c r="H20" s="31"/>
      <c r="I20" s="31"/>
      <c r="J20" s="31"/>
      <c r="K20" s="31"/>
    </row>
    <row r="21" ht="20.05" customHeight="1">
      <c r="A21" t="s" s="21">
        <v>22</v>
      </c>
      <c r="B21" s="17">
        <f>B16</f>
        <v>44</v>
      </c>
      <c r="C21" s="31">
        <f>105+4+183</f>
        <v>292</v>
      </c>
      <c r="D21" s="31">
        <f>116+4+195+40</f>
        <v>355</v>
      </c>
      <c r="E21" s="31">
        <f>D21+E16</f>
        <v>366.5</v>
      </c>
      <c r="F21" s="31">
        <f>E21+F16</f>
        <v>375.6</v>
      </c>
      <c r="G21" s="31">
        <f>124+215+40+4</f>
        <v>383</v>
      </c>
      <c r="H21" s="31"/>
      <c r="I21" s="31"/>
      <c r="J21" s="31"/>
      <c r="K21" s="31"/>
    </row>
    <row r="22" ht="20.05" customHeight="1">
      <c r="A22" t="s" s="21">
        <v>21</v>
      </c>
      <c r="B22" s="17">
        <f>B20-B14</f>
        <v>620</v>
      </c>
      <c r="C22" s="31">
        <f>C20-C14</f>
        <v>565.0890000000001</v>
      </c>
      <c r="D22" s="31">
        <f>D20-D14</f>
        <v>560.0890000000001</v>
      </c>
      <c r="E22" s="31">
        <f>E20-E14</f>
        <v>697.519</v>
      </c>
      <c r="F22" s="31">
        <f>F20-F14</f>
        <v>660.736</v>
      </c>
      <c r="G22" s="31">
        <f>G20-G14</f>
        <v>678.389</v>
      </c>
      <c r="H22" s="31"/>
      <c r="I22" s="31"/>
      <c r="J22" s="31"/>
      <c r="K22" s="31"/>
    </row>
    <row r="23" ht="20.05" customHeight="1">
      <c r="A23" t="s" s="21">
        <v>12</v>
      </c>
      <c r="B23" s="17">
        <v>480</v>
      </c>
      <c r="C23" s="31">
        <v>439.6</v>
      </c>
      <c r="D23" s="31">
        <v>505.9</v>
      </c>
      <c r="E23" s="31">
        <v>524.5</v>
      </c>
      <c r="F23" s="31">
        <v>468.3</v>
      </c>
      <c r="G23" s="31">
        <v>457</v>
      </c>
      <c r="H23" s="31"/>
      <c r="I23" s="31"/>
      <c r="J23" s="31"/>
      <c r="K23" s="31"/>
    </row>
    <row r="24" ht="20.05" customHeight="1">
      <c r="A24" t="s" s="21">
        <v>15</v>
      </c>
      <c r="B24" s="17">
        <v>155.67</v>
      </c>
      <c r="C24" s="31">
        <v>173.8</v>
      </c>
      <c r="D24" s="31">
        <v>94.3</v>
      </c>
      <c r="E24" s="31">
        <v>189.2</v>
      </c>
      <c r="F24" s="31">
        <v>213.8</v>
      </c>
      <c r="G24" s="31">
        <v>233</v>
      </c>
      <c r="H24" s="31"/>
      <c r="I24" s="31"/>
      <c r="J24" s="31"/>
      <c r="K24" s="31"/>
    </row>
    <row r="25" ht="20.05" customHeight="1">
      <c r="A25" t="s" s="21">
        <v>23</v>
      </c>
      <c r="B25" s="17">
        <f>B23+B24-B14-B22</f>
        <v>-0.03</v>
      </c>
      <c r="C25" s="31">
        <f>C23+C24-C14-C22</f>
        <v>0</v>
      </c>
      <c r="D25" s="31">
        <f>D23+D24-D14-D22</f>
        <v>0</v>
      </c>
      <c r="E25" s="31">
        <f>E23+E24-E14-E22</f>
        <v>0</v>
      </c>
      <c r="F25" s="31">
        <f>F23+F24-F14-F22</f>
        <v>0</v>
      </c>
      <c r="G25" s="31">
        <f>G23+G24-G14-G22</f>
        <v>0</v>
      </c>
      <c r="H25" s="31"/>
      <c r="I25" s="31"/>
      <c r="J25" s="31"/>
      <c r="K25" s="31"/>
    </row>
    <row r="26" ht="20.05" customHeight="1">
      <c r="A26" t="s" s="21">
        <v>24</v>
      </c>
      <c r="B26" s="17">
        <f>B14-B23</f>
        <v>-464.3</v>
      </c>
      <c r="C26" s="31">
        <f>C14-C23</f>
        <v>-391.289</v>
      </c>
      <c r="D26" s="31">
        <f>D14-D23</f>
        <v>-465.789</v>
      </c>
      <c r="E26" s="31">
        <f>E14-E23</f>
        <v>-508.319</v>
      </c>
      <c r="F26" s="31">
        <f>F14-F23</f>
        <v>-446.936</v>
      </c>
      <c r="G26" s="31">
        <f>G14-G23</f>
        <v>-445.389</v>
      </c>
      <c r="H26" s="20"/>
      <c r="I26" s="31"/>
      <c r="J26" s="31"/>
      <c r="K26" s="31"/>
    </row>
    <row r="27" ht="20.05" customHeight="1">
      <c r="A27" t="s" s="21">
        <v>32</v>
      </c>
      <c r="B27" s="15"/>
      <c r="C27" s="16"/>
      <c r="D27" s="16"/>
      <c r="E27" s="16"/>
      <c r="F27" s="31">
        <f>F26</f>
        <v>-446.936</v>
      </c>
      <c r="G27" s="31">
        <f>G26</f>
        <v>-445.389</v>
      </c>
      <c r="H27" s="31">
        <f>'Model'!E19-'Model'!E23-'Model'!E24</f>
        <v>-367.788918304847</v>
      </c>
      <c r="I27" s="16"/>
      <c r="J27" s="16"/>
      <c r="K27" s="16"/>
    </row>
    <row r="28" ht="20.05" customHeight="1">
      <c r="A28" t="s" s="21">
        <v>59</v>
      </c>
      <c r="B28" s="15">
        <f>(B8-B7)/B7</f>
        <v>-0.669130187606595</v>
      </c>
      <c r="C28" s="16">
        <f>(C8-C7)/C7</f>
        <v>-0.568617429082545</v>
      </c>
      <c r="D28" s="16">
        <f>(D8-D7)/D7</f>
        <v>-0.612328767123288</v>
      </c>
      <c r="E28" s="16">
        <f>(E8-E7)/E7</f>
        <v>-0.560777626193724</v>
      </c>
      <c r="F28" s="16">
        <f>(F8-F7)/F7</f>
        <v>-0.47066950053135</v>
      </c>
      <c r="G28" s="16">
        <f>(G8-G7)/G7</f>
        <v>-0.911268855368234</v>
      </c>
      <c r="H28" s="16"/>
      <c r="I28" s="16"/>
      <c r="J28" s="16"/>
      <c r="K28" s="16"/>
    </row>
    <row r="29" ht="20.05" customHeight="1">
      <c r="A29" t="s" s="21">
        <v>3</v>
      </c>
      <c r="B29" s="17">
        <f>SUM(B8:B9)/4</f>
        <v>11.25</v>
      </c>
      <c r="C29" s="31">
        <f>SUM(C8:C9)/4</f>
        <v>31.9</v>
      </c>
      <c r="D29" s="31">
        <f>SUM(D8:D9)/4</f>
        <v>17.4675</v>
      </c>
      <c r="E29" s="31">
        <f>SUM(E8:E9)/2</f>
        <v>-5.63</v>
      </c>
      <c r="F29" s="31">
        <f>SUM(F8:F9)</f>
        <v>22.26</v>
      </c>
      <c r="G29" s="31">
        <f>SUM(G8:G9)</f>
        <v>-5</v>
      </c>
      <c r="H29" s="31">
        <f>SUM('Model'!E10:E11)</f>
        <v>24.0019801604631</v>
      </c>
      <c r="I29" s="31"/>
      <c r="J29" s="31"/>
      <c r="K29" s="31"/>
    </row>
    <row r="30" ht="20.05" customHeight="1">
      <c r="A30" t="s" s="21">
        <v>27</v>
      </c>
      <c r="B30" s="17">
        <f>-(B10+B11)</f>
        <v>80.3</v>
      </c>
      <c r="C30" s="31">
        <f>-(C10+C11)+B30</f>
        <v>175.289</v>
      </c>
      <c r="D30" s="31">
        <f>-(D10+D11)+C30</f>
        <v>253.359</v>
      </c>
      <c r="E30" s="31">
        <f>-(E10+E11)+D30</f>
        <v>266.029</v>
      </c>
      <c r="F30" s="31">
        <f>-(F10+F11)+E30</f>
        <v>282.806</v>
      </c>
      <c r="G30" s="31">
        <f>-(G10+G11)+F30</f>
        <v>287.259</v>
      </c>
      <c r="H30" s="31">
        <f>'Model'!E30</f>
        <v>362.970320947831</v>
      </c>
      <c r="I30" s="31"/>
      <c r="J30" s="31"/>
      <c r="K30" s="31"/>
    </row>
    <row r="31" ht="20.05" customHeight="1">
      <c r="A31" t="s" s="21">
        <v>51</v>
      </c>
      <c r="B31" s="17"/>
      <c r="C31" s="31"/>
      <c r="D31" s="31"/>
      <c r="E31" s="31">
        <v>750</v>
      </c>
      <c r="F31" s="31">
        <v>560</v>
      </c>
      <c r="G31" s="31">
        <v>565</v>
      </c>
      <c r="H31" s="31">
        <v>478</v>
      </c>
      <c r="I31" s="31"/>
      <c r="J31" s="31"/>
      <c r="K31" s="31"/>
    </row>
    <row r="32" ht="20.05" customHeight="1">
      <c r="A32" t="s" s="21">
        <v>35</v>
      </c>
      <c r="B32" s="17"/>
      <c r="C32" s="31"/>
      <c r="D32" s="31"/>
      <c r="E32" s="31"/>
      <c r="F32" s="31"/>
      <c r="G32" s="31"/>
      <c r="H32" s="31">
        <f>H31</f>
        <v>478</v>
      </c>
      <c r="I32" s="31">
        <f>'Model'!E41</f>
        <v>503.534496221889</v>
      </c>
      <c r="J32" s="31"/>
      <c r="K32" s="31"/>
    </row>
    <row r="33" ht="20.05" customHeight="1">
      <c r="A33" t="s" s="21">
        <v>60</v>
      </c>
      <c r="B33" s="17"/>
      <c r="C33" s="31"/>
      <c r="D33" s="31"/>
      <c r="E33" s="31"/>
      <c r="F33" s="31"/>
      <c r="G33" s="31"/>
      <c r="H33" s="31"/>
      <c r="I33" s="31">
        <v>360.363316261546</v>
      </c>
      <c r="J33" s="31"/>
      <c r="K33" s="31"/>
    </row>
  </sheetData>
  <mergeCells count="1">
    <mergeCell ref="A1:K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2:M1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3" width="10.4766" style="47" customWidth="1"/>
    <col min="14" max="16384" width="16.3516" style="47" customWidth="1"/>
  </cols>
  <sheetData>
    <row r="1" ht="27.65" customHeight="1">
      <c r="A1" t="s" s="2">
        <v>61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2.25" customHeight="1">
      <c r="A2" s="4"/>
      <c r="B2" s="4"/>
      <c r="C2" t="s" s="3">
        <v>48</v>
      </c>
      <c r="D2" t="s" s="3">
        <v>12</v>
      </c>
      <c r="E2" t="s" s="3">
        <v>5</v>
      </c>
      <c r="F2" t="s" s="3">
        <v>22</v>
      </c>
      <c r="G2" t="s" s="3">
        <v>62</v>
      </c>
      <c r="H2" t="s" s="3">
        <v>42</v>
      </c>
      <c r="I2" t="s" s="3">
        <v>10</v>
      </c>
      <c r="J2" t="s" s="3">
        <v>43</v>
      </c>
      <c r="K2" t="s" s="3">
        <v>12</v>
      </c>
      <c r="L2" t="s" s="3">
        <v>15</v>
      </c>
      <c r="M2" t="s" s="3">
        <v>44</v>
      </c>
    </row>
    <row r="3" ht="20.25" customHeight="1">
      <c r="A3" t="s" s="6">
        <v>63</v>
      </c>
      <c r="B3" s="26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ht="20.05" customHeight="1">
      <c r="A4" t="s" s="21">
        <v>64</v>
      </c>
      <c r="B4" s="22"/>
      <c r="C4" s="20"/>
      <c r="D4" s="20"/>
      <c r="E4" s="31">
        <v>130.1</v>
      </c>
      <c r="F4" s="31"/>
      <c r="G4" s="31">
        <v>26.2</v>
      </c>
      <c r="H4" s="31">
        <v>132.6</v>
      </c>
      <c r="I4" s="31">
        <v>14.7</v>
      </c>
      <c r="J4" s="31">
        <v>-20.1</v>
      </c>
      <c r="K4" s="31">
        <v>95.7</v>
      </c>
      <c r="L4" s="31">
        <v>-74.2</v>
      </c>
      <c r="M4" s="31">
        <v>-2.9</v>
      </c>
    </row>
    <row r="5" ht="20.05" customHeight="1">
      <c r="A5" t="s" s="21">
        <v>65</v>
      </c>
      <c r="B5" s="17"/>
      <c r="C5" s="31"/>
      <c r="D5" s="31"/>
      <c r="E5" s="31">
        <v>275</v>
      </c>
      <c r="F5" s="31"/>
      <c r="G5" s="31">
        <v>83</v>
      </c>
      <c r="H5" s="31">
        <v>281</v>
      </c>
      <c r="I5" s="31">
        <v>89.09999999999999</v>
      </c>
      <c r="J5" s="31">
        <v>-39.7</v>
      </c>
      <c r="K5" s="31">
        <v>57.5</v>
      </c>
      <c r="L5" s="31">
        <v>-74.2</v>
      </c>
      <c r="M5" s="31">
        <v>-42.3</v>
      </c>
    </row>
    <row r="6" ht="20.05" customHeight="1">
      <c r="A6" t="s" s="21">
        <v>66</v>
      </c>
      <c r="B6" s="17"/>
      <c r="C6" s="31">
        <v>600</v>
      </c>
      <c r="D6" s="31">
        <v>506</v>
      </c>
      <c r="E6" s="18">
        <v>393</v>
      </c>
      <c r="F6" s="18">
        <v>23</v>
      </c>
      <c r="G6" s="18">
        <v>123</v>
      </c>
      <c r="H6" s="18">
        <v>402</v>
      </c>
      <c r="I6" s="18">
        <v>155.7</v>
      </c>
      <c r="J6" s="18">
        <v>-85.8</v>
      </c>
      <c r="K6" s="18">
        <v>61</v>
      </c>
      <c r="L6" s="18">
        <v>-202.2</v>
      </c>
      <c r="M6" s="18">
        <v>-78.09999999999999</v>
      </c>
    </row>
    <row r="7" ht="20.05" customHeight="1">
      <c r="A7" t="s" s="21">
        <v>63</v>
      </c>
      <c r="B7" s="17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ht="20.05" customHeight="1">
      <c r="A8" t="s" s="21">
        <v>64</v>
      </c>
      <c r="B8" s="17"/>
      <c r="C8" s="31">
        <v>714</v>
      </c>
      <c r="D8" s="31">
        <v>525</v>
      </c>
      <c r="E8" s="31">
        <v>142</v>
      </c>
      <c r="F8" s="31"/>
      <c r="G8" s="31">
        <v>33</v>
      </c>
      <c r="H8" s="31">
        <v>147</v>
      </c>
      <c r="I8" s="31">
        <v>64.40000000000001</v>
      </c>
      <c r="J8" s="31">
        <v>-75.7</v>
      </c>
      <c r="K8" s="31">
        <v>-16.6</v>
      </c>
      <c r="L8" s="31">
        <v>64.40000000000001</v>
      </c>
      <c r="M8" s="31">
        <v>-127</v>
      </c>
    </row>
    <row r="9" ht="20.05" customHeight="1">
      <c r="A9" t="s" s="21">
        <v>65</v>
      </c>
      <c r="B9" s="17"/>
      <c r="C9" s="31">
        <v>682</v>
      </c>
      <c r="D9" s="31">
        <v>468</v>
      </c>
      <c r="E9" s="31">
        <v>237</v>
      </c>
      <c r="F9" s="31"/>
      <c r="G9" s="31">
        <v>57</v>
      </c>
      <c r="H9" s="31">
        <v>240.7</v>
      </c>
      <c r="I9" s="31">
        <v>114.2</v>
      </c>
      <c r="J9" s="31">
        <v>-103.2</v>
      </c>
      <c r="K9" s="31">
        <v>-92.8</v>
      </c>
      <c r="L9" s="31">
        <v>64.40000000000001</v>
      </c>
      <c r="M9" s="31">
        <v>-29.5</v>
      </c>
    </row>
    <row r="10" ht="20.05" customHeight="1">
      <c r="A10" t="s" s="21">
        <v>66</v>
      </c>
      <c r="B10" s="17"/>
      <c r="C10" s="31">
        <v>690</v>
      </c>
      <c r="D10" s="31">
        <v>457</v>
      </c>
      <c r="E10" s="31">
        <v>346</v>
      </c>
      <c r="F10" s="31">
        <v>27.2</v>
      </c>
      <c r="G10" s="31">
        <v>75</v>
      </c>
      <c r="H10" s="31">
        <v>353</v>
      </c>
      <c r="I10" s="31">
        <v>124.2</v>
      </c>
      <c r="J10" s="31">
        <v>-118.2</v>
      </c>
      <c r="K10" s="31">
        <v>-95</v>
      </c>
      <c r="L10" s="31">
        <v>62.6</v>
      </c>
      <c r="M10" s="31">
        <v>-33.9</v>
      </c>
    </row>
    <row r="11" ht="20.05" customHeight="1">
      <c r="A11" s="34"/>
      <c r="B11" s="17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</row>
  </sheetData>
  <mergeCells count="1">
    <mergeCell ref="A1:M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