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s " sheetId="4" r:id="rId7"/>
    <sheet name="Share price" sheetId="5" r:id="rId8"/>
    <sheet name="Capital" sheetId="6" r:id="rId9"/>
  </sheets>
</workbook>
</file>

<file path=xl/sharedStrings.xml><?xml version="1.0" encoding="utf-8"?>
<sst xmlns="http://schemas.openxmlformats.org/spreadsheetml/2006/main" uniqueCount="60">
  <si>
    <t>Financial model</t>
  </si>
  <si>
    <t>Rpbn</t>
  </si>
  <si>
    <t>4Q 2022</t>
  </si>
  <si>
    <t>Cashflow</t>
  </si>
  <si>
    <t>Growth</t>
  </si>
  <si>
    <t>Sales</t>
  </si>
  <si>
    <t>Cash cost ratio</t>
  </si>
  <si>
    <t xml:space="preserve">Cash cost 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</si>
  <si>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</si>
  <si>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</si>
  <si>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</si>
  <si>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</si>
  <si>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</si>
  <si>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</si>
  <si>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</si>
  <si>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</si>
  <si>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</si>
  <si>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</si>
  <si>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</si>
  <si>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</si>
  <si>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</si>
  <si>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</si>
  <si>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</si>
  <si>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</si>
  <si>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</si>
  <si>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</si>
  <si>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</si>
  <si>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</si>
  <si>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</si>
  <si>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</si>
  <si>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</si>
  <si>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</si>
  <si>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</si>
  <si>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</si>
  <si>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</si>
  <si>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</si>
  <si>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</si>
  <si>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</si>
  <si>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</si>
  <si>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</si>
  <si>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</si>
  <si>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</si>
  <si>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FX gain (loss)</t>
  </si>
  <si>
    <t>Net profit</t>
  </si>
  <si>
    <t xml:space="preserve">Sales growth </t>
  </si>
  <si>
    <t xml:space="preserve">Cost ratio </t>
  </si>
  <si>
    <t>Cashflow costs</t>
  </si>
  <si>
    <t xml:space="preserve">Receipts </t>
  </si>
  <si>
    <t xml:space="preserve">Operating </t>
  </si>
  <si>
    <t xml:space="preserve">Investment </t>
  </si>
  <si>
    <t>Leases</t>
  </si>
  <si>
    <t xml:space="preserve">Free cashflow </t>
  </si>
  <si>
    <t xml:space="preserve">Cash </t>
  </si>
  <si>
    <t>Assets</t>
  </si>
  <si>
    <t>Check</t>
  </si>
  <si>
    <t>Share price</t>
  </si>
  <si>
    <t>ANTM</t>
  </si>
  <si>
    <t xml:space="preserve">Previous </t>
  </si>
  <si>
    <t>Capital</t>
  </si>
  <si>
    <t>Total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</si>
</sst>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%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6458"/>
          <c:y val="0.0446026"/>
          <c:w val="0.844913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'Capital'!$A$3:$A$25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'Capital'!$E$3:$E$25</c:f>
              <c:numCache>
                <c:ptCount val="23"/>
                <c:pt idx="0">
                  <c:v>-5.432000</c:v>
                </c:pt>
                <c:pt idx="1">
                  <c:v>-137.630000</c:v>
                </c:pt>
                <c:pt idx="2">
                  <c:v>-256.037000</c:v>
                </c:pt>
                <c:pt idx="3">
                  <c:v>-347.514000</c:v>
                </c:pt>
                <c:pt idx="4">
                  <c:v>1190.888000</c:v>
                </c:pt>
                <c:pt idx="5">
                  <c:v>1348.224000</c:v>
                </c:pt>
                <c:pt idx="6">
                  <c:v>1108.662000</c:v>
                </c:pt>
                <c:pt idx="7">
                  <c:v>440.799000</c:v>
                </c:pt>
                <c:pt idx="8">
                  <c:v>-21.023000</c:v>
                </c:pt>
                <c:pt idx="9">
                  <c:v>-264.810000</c:v>
                </c:pt>
                <c:pt idx="10">
                  <c:v>-497.491000</c:v>
                </c:pt>
                <c:pt idx="11">
                  <c:v>-188.720000</c:v>
                </c:pt>
                <c:pt idx="12">
                  <c:v>2087.106000</c:v>
                </c:pt>
                <c:pt idx="13">
                  <c:v>3726.176000</c:v>
                </c:pt>
                <c:pt idx="14">
                  <c:v>5062.399000</c:v>
                </c:pt>
                <c:pt idx="15">
                  <c:v>6110.718000</c:v>
                </c:pt>
                <c:pt idx="16">
                  <c:v>7643.848000</c:v>
                </c:pt>
                <c:pt idx="17">
                  <c:v>7617.008000</c:v>
                </c:pt>
                <c:pt idx="18">
                  <c:v>7048.650000</c:v>
                </c:pt>
                <c:pt idx="19">
                  <c:v>6476.667000</c:v>
                </c:pt>
                <c:pt idx="20">
                  <c:v>5419.556000</c:v>
                </c:pt>
                <c:pt idx="21">
                  <c:v>4332.432000</c:v>
                </c:pt>
                <c:pt idx="22">
                  <c:v>2609.732000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'Capital'!$A$3:$A$25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'Capital'!$F$3:$F$25</c:f>
              <c:numCache>
                <c:ptCount val="23"/>
                <c:pt idx="0">
                  <c:v>-127.839000</c:v>
                </c:pt>
                <c:pt idx="1">
                  <c:v>-217.914000</c:v>
                </c:pt>
                <c:pt idx="2">
                  <c:v>-409.491000</c:v>
                </c:pt>
                <c:pt idx="3">
                  <c:v>-588.568000</c:v>
                </c:pt>
                <c:pt idx="4">
                  <c:v>-654.225000</c:v>
                </c:pt>
                <c:pt idx="5">
                  <c:v>-748.450000</c:v>
                </c:pt>
                <c:pt idx="6">
                  <c:v>-1006.634000</c:v>
                </c:pt>
                <c:pt idx="7">
                  <c:v>-1292.920000</c:v>
                </c:pt>
                <c:pt idx="8">
                  <c:v>-1914.030000</c:v>
                </c:pt>
                <c:pt idx="9">
                  <c:v>-3980.449000</c:v>
                </c:pt>
                <c:pt idx="10">
                  <c:v>-4527.704000</c:v>
                </c:pt>
                <c:pt idx="11">
                  <c:v>-4769.426000</c:v>
                </c:pt>
                <c:pt idx="12">
                  <c:v>-5442.785000</c:v>
                </c:pt>
                <c:pt idx="13">
                  <c:v>-6298.335000</c:v>
                </c:pt>
                <c:pt idx="14">
                  <c:v>-6747.302000</c:v>
                </c:pt>
                <c:pt idx="15">
                  <c:v>-6839.539000</c:v>
                </c:pt>
                <c:pt idx="16">
                  <c:v>-1485.293000</c:v>
                </c:pt>
                <c:pt idx="17">
                  <c:v>-1485.293000</c:v>
                </c:pt>
                <c:pt idx="18">
                  <c:v>-1485.293000</c:v>
                </c:pt>
                <c:pt idx="19">
                  <c:v>-1533.070000</c:v>
                </c:pt>
                <c:pt idx="20">
                  <c:v>-1839.118000</c:v>
                </c:pt>
                <c:pt idx="21">
                  <c:v>-1906.965000</c:v>
                </c:pt>
                <c:pt idx="22">
                  <c:v>-2309.265000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'Capital'!$A$3:$A$25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'Capital'!$G$3:$G$25</c:f>
              <c:numCache>
                <c:ptCount val="23"/>
                <c:pt idx="0">
                  <c:v>-133.271000</c:v>
                </c:pt>
                <c:pt idx="1">
                  <c:v>-355.544000</c:v>
                </c:pt>
                <c:pt idx="2">
                  <c:v>-665.528000</c:v>
                </c:pt>
                <c:pt idx="3">
                  <c:v>-936.082000</c:v>
                </c:pt>
                <c:pt idx="4">
                  <c:v>536.663000</c:v>
                </c:pt>
                <c:pt idx="5">
                  <c:v>599.774000</c:v>
                </c:pt>
                <c:pt idx="6">
                  <c:v>102.028000</c:v>
                </c:pt>
                <c:pt idx="7">
                  <c:v>-852.121000</c:v>
                </c:pt>
                <c:pt idx="8">
                  <c:v>-1935.053000</c:v>
                </c:pt>
                <c:pt idx="9">
                  <c:v>-4245.259000</c:v>
                </c:pt>
                <c:pt idx="10">
                  <c:v>-5025.195000</c:v>
                </c:pt>
                <c:pt idx="11">
                  <c:v>-4958.146000</c:v>
                </c:pt>
                <c:pt idx="12">
                  <c:v>-3355.679000</c:v>
                </c:pt>
                <c:pt idx="13">
                  <c:v>-2572.159000</c:v>
                </c:pt>
                <c:pt idx="14">
                  <c:v>-1684.903000</c:v>
                </c:pt>
                <c:pt idx="15">
                  <c:v>-728.821000</c:v>
                </c:pt>
                <c:pt idx="16">
                  <c:v>6158.555000</c:v>
                </c:pt>
                <c:pt idx="17">
                  <c:v>6131.715000</c:v>
                </c:pt>
                <c:pt idx="18">
                  <c:v>5563.357000</c:v>
                </c:pt>
                <c:pt idx="19">
                  <c:v>4943.597000</c:v>
                </c:pt>
                <c:pt idx="20">
                  <c:v>3580.438000</c:v>
                </c:pt>
                <c:pt idx="21">
                  <c:v>2425.467000</c:v>
                </c:pt>
                <c:pt idx="22">
                  <c:v>300.467000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8000"/>
        <c:minorUnit val="4000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63264"/>
          <c:y val="0.0743018"/>
          <c:w val="0.331183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558686</xdr:colOff>
      <xdr:row>2</xdr:row>
      <xdr:rowOff>17451</xdr:rowOff>
    </xdr:from>
    <xdr:to>
      <xdr:col>13</xdr:col>
      <xdr:colOff>694118</xdr:colOff>
      <xdr:row>47</xdr:row>
      <xdr:rowOff>53980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143386" y="572441"/>
          <a:ext cx="8847633" cy="1152304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645077</xdr:colOff>
      <xdr:row>32</xdr:row>
      <xdr:rowOff>243966</xdr:rowOff>
    </xdr:from>
    <xdr:to>
      <xdr:col>5</xdr:col>
      <xdr:colOff>367391</xdr:colOff>
      <xdr:row>46</xdr:row>
      <xdr:rowOff>42862</xdr:rowOff>
    </xdr:to>
    <xdr:graphicFrame>
      <xdr:nvGraphicFramePr>
        <xdr:cNvPr id="4" name="2D Line Chart"/>
        <xdr:cNvGraphicFramePr/>
      </xdr:nvGraphicFramePr>
      <xdr:xfrm>
        <a:off x="645077" y="8480551"/>
        <a:ext cx="3532315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131576</xdr:colOff>
      <xdr:row>29</xdr:row>
      <xdr:rowOff>129431</xdr:rowOff>
    </xdr:from>
    <xdr:to>
      <xdr:col>6</xdr:col>
      <xdr:colOff>118892</xdr:colOff>
      <xdr:row>33</xdr:row>
      <xdr:rowOff>101063</xdr:rowOff>
    </xdr:to>
    <xdr:sp>
      <xdr:nvSpPr>
        <xdr:cNvPr id="5" name="ANTM RAISED 11 TRILLION RUPIAH 2010 to 2015"/>
        <xdr:cNvSpPr txBox="1"/>
      </xdr:nvSpPr>
      <xdr:spPr>
        <a:xfrm>
          <a:off x="131576" y="7607826"/>
          <a:ext cx="4559317" cy="98255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ANTM RAISED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11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TRILLION RUPIAH 2010 to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71094" style="1" customWidth="1"/>
    <col min="2" max="2" width="14.7656" style="1" customWidth="1"/>
    <col min="3" max="6" width="9.09375" style="1" customWidth="1"/>
    <col min="7" max="16384" width="16.3516" style="1" customWidth="1"/>
  </cols>
  <sheetData>
    <row r="1" ht="16.0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s="4"/>
      <c r="D3" s="5"/>
      <c r="E3" s="4"/>
      <c r="F3" t="s" s="6">
        <v>2</v>
      </c>
    </row>
    <row r="4" ht="20.3" customHeight="1">
      <c r="B4" t="s" s="7">
        <v>3</v>
      </c>
      <c r="C4" s="8">
        <f>AVERAGE('Sales'!H28:H31)</f>
        <v>0.0760076055528094</v>
      </c>
      <c r="D4" s="9"/>
      <c r="E4" s="9"/>
      <c r="F4" s="10">
        <f>AVERAGE(C5:F5)</f>
        <v>0.035</v>
      </c>
    </row>
    <row r="5" ht="20.1" customHeight="1">
      <c r="B5" t="s" s="11">
        <v>4</v>
      </c>
      <c r="C5" s="12">
        <v>0.07000000000000001</v>
      </c>
      <c r="D5" s="13">
        <v>-0.01</v>
      </c>
      <c r="E5" s="13">
        <v>0.05</v>
      </c>
      <c r="F5" s="13">
        <v>0.03</v>
      </c>
    </row>
    <row r="6" ht="20.1" customHeight="1">
      <c r="B6" t="s" s="11">
        <v>5</v>
      </c>
      <c r="C6" s="14">
        <f>'Sales'!C31*(1+C5)</f>
        <v>12807.151</v>
      </c>
      <c r="D6" s="15">
        <f>C6*(1+D5)</f>
        <v>12679.07949</v>
      </c>
      <c r="E6" s="15">
        <f>D6*(1+E5)</f>
        <v>13313.0334645</v>
      </c>
      <c r="F6" s="15">
        <f>E6*(1+F5)</f>
        <v>13712.424468435</v>
      </c>
    </row>
    <row r="7" ht="20.1" customHeight="1">
      <c r="B7" t="s" s="11">
        <v>6</v>
      </c>
      <c r="C7" s="16">
        <f>AVERAGE('Sales'!I30)</f>
        <v>-0.906100224968211</v>
      </c>
      <c r="D7" s="17">
        <f>C7</f>
        <v>-0.906100224968211</v>
      </c>
      <c r="E7" s="17">
        <f>D7</f>
        <v>-0.906100224968211</v>
      </c>
      <c r="F7" s="17">
        <f>E7</f>
        <v>-0.906100224968211</v>
      </c>
    </row>
    <row r="8" ht="20.1" customHeight="1">
      <c r="B8" t="s" s="11">
        <v>7</v>
      </c>
      <c r="C8" s="18">
        <f>C7*C6</f>
        <v>-11604.5624023018</v>
      </c>
      <c r="D8" s="19">
        <f>D7*D6</f>
        <v>-11488.5167782788</v>
      </c>
      <c r="E8" s="19">
        <f>E7*E6</f>
        <v>-12062.9426171928</v>
      </c>
      <c r="F8" s="19">
        <f>F7*F6</f>
        <v>-12424.8308957086</v>
      </c>
    </row>
    <row r="9" ht="20.1" customHeight="1">
      <c r="B9" t="s" s="11">
        <v>8</v>
      </c>
      <c r="C9" s="18">
        <f>C6+C8</f>
        <v>1202.5885976982</v>
      </c>
      <c r="D9" s="19">
        <f>D6+D8</f>
        <v>1190.5627117212</v>
      </c>
      <c r="E9" s="19">
        <f>E6+E8</f>
        <v>1250.0908473072</v>
      </c>
      <c r="F9" s="19">
        <f>F6+F8</f>
        <v>1287.5935727264</v>
      </c>
    </row>
    <row r="10" ht="20.05" customHeight="1">
      <c r="B10" t="s" s="11">
        <v>9</v>
      </c>
      <c r="C10" s="18">
        <f>AVERAGE('Cashflow'!E28:E31)</f>
        <v>-432.45</v>
      </c>
      <c r="D10" s="19">
        <f>C10</f>
        <v>-432.45</v>
      </c>
      <c r="E10" s="19">
        <f>D10</f>
        <v>-432.45</v>
      </c>
      <c r="F10" s="19">
        <f>E10</f>
        <v>-432.45</v>
      </c>
    </row>
    <row r="11" ht="20.1" customHeight="1">
      <c r="B11" t="s" s="11">
        <v>10</v>
      </c>
      <c r="C11" s="18">
        <f>C12+C13+C15</f>
        <v>-770.1385976982</v>
      </c>
      <c r="D11" s="19">
        <f>D12+D13+D15</f>
        <v>-758.1127117212</v>
      </c>
      <c r="E11" s="19">
        <f>E12+E13+E15</f>
        <v>-817.6408473072</v>
      </c>
      <c r="F11" s="19">
        <f>F12+F13+F15</f>
        <v>-855.1435727264</v>
      </c>
    </row>
    <row r="12" ht="20.1" customHeight="1">
      <c r="B12" t="s" s="11">
        <v>11</v>
      </c>
      <c r="C12" s="18">
        <f>-('Balance sheets '!G30)/20</f>
        <v>-603.95</v>
      </c>
      <c r="D12" s="19">
        <f>-C26/20</f>
        <v>-573.7525000000001</v>
      </c>
      <c r="E12" s="19">
        <f>-D26/20</f>
        <v>-545.064875</v>
      </c>
      <c r="F12" s="19">
        <f>-E26/20</f>
        <v>-517.81163125</v>
      </c>
    </row>
    <row r="13" ht="20.1" customHeight="1">
      <c r="B13" t="s" s="11">
        <v>12</v>
      </c>
      <c r="C13" s="18">
        <f>IF(C21&gt;0,-C21*0.4,0)</f>
        <v>-385.915439079280</v>
      </c>
      <c r="D13" s="19">
        <f>IF(D21&gt;0,-D21*0.4,0)</f>
        <v>-381.105084688480</v>
      </c>
      <c r="E13" s="19">
        <f>IF(E21&gt;0,-E21*0.4,0)</f>
        <v>-404.916338922880</v>
      </c>
      <c r="F13" s="19">
        <f>IF(F21&gt;0,-F21*0.4,0)</f>
        <v>-419.917429090560</v>
      </c>
    </row>
    <row r="14" ht="20.05" customHeight="1">
      <c r="B14" t="s" s="11">
        <v>13</v>
      </c>
      <c r="C14" s="18">
        <f>C9+C10+C12+C13</f>
        <v>-219.726841381080</v>
      </c>
      <c r="D14" s="19">
        <f>D9+D10+D12+D13</f>
        <v>-196.744872967280</v>
      </c>
      <c r="E14" s="19">
        <f>E9+E10+E12+E13</f>
        <v>-132.340366615680</v>
      </c>
      <c r="F14" s="19">
        <f>F9+F10+F12+F13</f>
        <v>-82.585487614160</v>
      </c>
    </row>
    <row r="15" ht="20.1" customHeight="1">
      <c r="B15" t="s" s="11">
        <v>14</v>
      </c>
      <c r="C15" s="18">
        <f>-MIN(0,C14)</f>
        <v>219.726841381080</v>
      </c>
      <c r="D15" s="19">
        <f>-MIN(C27,D14)</f>
        <v>196.744872967280</v>
      </c>
      <c r="E15" s="19">
        <f>-MIN(D27,E14)</f>
        <v>132.340366615680</v>
      </c>
      <c r="F15" s="19">
        <f>-MIN(E27,F14)</f>
        <v>82.585487614160</v>
      </c>
    </row>
    <row r="16" ht="20.1" customHeight="1">
      <c r="B16" t="s" s="11">
        <v>15</v>
      </c>
      <c r="C16" s="18">
        <f>'Balance sheets '!C30</f>
        <v>5089</v>
      </c>
      <c r="D16" s="19">
        <f>C18</f>
        <v>5089</v>
      </c>
      <c r="E16" s="19">
        <f>D18</f>
        <v>5089</v>
      </c>
      <c r="F16" s="19">
        <f>E18</f>
        <v>5089</v>
      </c>
    </row>
    <row r="17" ht="20.1" customHeight="1">
      <c r="B17" t="s" s="11">
        <v>16</v>
      </c>
      <c r="C17" s="18">
        <f>C9+C10+C11</f>
        <v>0</v>
      </c>
      <c r="D17" s="19">
        <f>D9+D10+D11</f>
        <v>0</v>
      </c>
      <c r="E17" s="19">
        <f>E9+E10+E11</f>
        <v>0</v>
      </c>
      <c r="F17" s="19">
        <f>F9+F10+F11</f>
        <v>0</v>
      </c>
    </row>
    <row r="18" ht="20.1" customHeight="1">
      <c r="B18" t="s" s="11">
        <v>17</v>
      </c>
      <c r="C18" s="18">
        <f>C16+C17</f>
        <v>5089</v>
      </c>
      <c r="D18" s="19">
        <f>D16+D17</f>
        <v>5089</v>
      </c>
      <c r="E18" s="19">
        <f>E16+E17</f>
        <v>5089</v>
      </c>
      <c r="F18" s="19">
        <f>F16+F17</f>
        <v>5089</v>
      </c>
    </row>
    <row r="19" ht="20.1" customHeight="1">
      <c r="B19" t="s" s="20">
        <v>18</v>
      </c>
      <c r="C19" s="21"/>
      <c r="D19" s="22"/>
      <c r="E19" s="22"/>
      <c r="F19" s="23"/>
    </row>
    <row r="20" ht="20.1" customHeight="1">
      <c r="B20" t="s" s="11">
        <v>19</v>
      </c>
      <c r="C20" s="18">
        <f>-AVERAGE('Sales'!E31)</f>
        <v>-237.8</v>
      </c>
      <c r="D20" s="19">
        <f>C20</f>
        <v>-237.8</v>
      </c>
      <c r="E20" s="19">
        <f>D20</f>
        <v>-237.8</v>
      </c>
      <c r="F20" s="19">
        <f>E20</f>
        <v>-237.8</v>
      </c>
    </row>
    <row r="21" ht="20.1" customHeight="1">
      <c r="B21" t="s" s="11">
        <v>20</v>
      </c>
      <c r="C21" s="18">
        <f>C6+C8+C20</f>
        <v>964.7885976982</v>
      </c>
      <c r="D21" s="19">
        <f>D6+D8+D20</f>
        <v>952.7627117212</v>
      </c>
      <c r="E21" s="19">
        <f>E6+E8+E20</f>
        <v>1012.2908473072</v>
      </c>
      <c r="F21" s="19">
        <f>F6+F8+F20</f>
        <v>1049.7935727264</v>
      </c>
    </row>
    <row r="22" ht="20.1" customHeight="1">
      <c r="B22" t="s" s="20">
        <v>21</v>
      </c>
      <c r="C22" s="21"/>
      <c r="D22" s="22"/>
      <c r="E22" s="22"/>
      <c r="F22" s="19"/>
    </row>
    <row r="23" ht="20.1" customHeight="1">
      <c r="B23" t="s" s="11">
        <v>22</v>
      </c>
      <c r="C23" s="18">
        <f>'Balance sheets '!E30+'Balance sheets '!F30-C10</f>
        <v>40682.45</v>
      </c>
      <c r="D23" s="19">
        <f>C23-D10</f>
        <v>41114.9</v>
      </c>
      <c r="E23" s="19">
        <f>D23-E10</f>
        <v>41547.35</v>
      </c>
      <c r="F23" s="19">
        <f>E23-F10</f>
        <v>41979.8</v>
      </c>
    </row>
    <row r="24" ht="20.1" customHeight="1">
      <c r="B24" t="s" s="11">
        <v>23</v>
      </c>
      <c r="C24" s="18">
        <f>'Balance sheets '!F30-C20</f>
        <v>12660.8</v>
      </c>
      <c r="D24" s="19">
        <f>C24-D20</f>
        <v>12898.6</v>
      </c>
      <c r="E24" s="19">
        <f>D24-E20</f>
        <v>13136.4</v>
      </c>
      <c r="F24" s="19">
        <f>E24-F20</f>
        <v>13374.2</v>
      </c>
    </row>
    <row r="25" ht="20.1" customHeight="1">
      <c r="B25" t="s" s="11">
        <v>24</v>
      </c>
      <c r="C25" s="18">
        <f>C23-C24</f>
        <v>28021.65</v>
      </c>
      <c r="D25" s="19">
        <f>D23-D24</f>
        <v>28216.3</v>
      </c>
      <c r="E25" s="19">
        <f>E23-E24</f>
        <v>28410.95</v>
      </c>
      <c r="F25" s="19">
        <f>F23-F24</f>
        <v>28605.6</v>
      </c>
    </row>
    <row r="26" ht="20.05" customHeight="1">
      <c r="B26" t="s" s="11">
        <v>11</v>
      </c>
      <c r="C26" s="18">
        <f>'Balance sheets '!G30+C12</f>
        <v>11475.05</v>
      </c>
      <c r="D26" s="19">
        <f>C26+D12</f>
        <v>10901.2975</v>
      </c>
      <c r="E26" s="19">
        <f>D26+E12</f>
        <v>10356.232625</v>
      </c>
      <c r="F26" s="19">
        <f>E26+F12</f>
        <v>9838.42099375</v>
      </c>
    </row>
    <row r="27" ht="20.1" customHeight="1">
      <c r="B27" t="s" s="11">
        <v>14</v>
      </c>
      <c r="C27" s="18">
        <f>C15</f>
        <v>219.726841381080</v>
      </c>
      <c r="D27" s="19">
        <f>C27+D15</f>
        <v>416.471714348360</v>
      </c>
      <c r="E27" s="19">
        <f>D27+E15</f>
        <v>548.812080964040</v>
      </c>
      <c r="F27" s="19">
        <f>E27+F15</f>
        <v>631.3975685782</v>
      </c>
    </row>
    <row r="28" ht="20.05" customHeight="1">
      <c r="B28" t="s" s="11">
        <v>25</v>
      </c>
      <c r="C28" s="18">
        <f>'Balance sheets '!H30+C21+C13</f>
        <v>21415.8731586189</v>
      </c>
      <c r="D28" s="19">
        <f>C28+D21+D13</f>
        <v>21987.5307856516</v>
      </c>
      <c r="E28" s="19">
        <f>D28+E21+E13</f>
        <v>22594.9052940359</v>
      </c>
      <c r="F28" s="19">
        <f>E28+F21+F13</f>
        <v>23224.7814376717</v>
      </c>
    </row>
    <row r="29" ht="20.1" customHeight="1">
      <c r="B29" t="s" s="11">
        <v>26</v>
      </c>
      <c r="C29" s="18">
        <f>C26+C27+C28-C18-C25</f>
        <v>-2e-11</v>
      </c>
      <c r="D29" s="19">
        <f>D26+D27+D28-D18-D25</f>
        <v>-4e-11</v>
      </c>
      <c r="E29" s="19">
        <f>E26+E27+E28-E18-E25</f>
        <v>-6e-11</v>
      </c>
      <c r="F29" s="19">
        <f>F26+F27+F28-F18-F25</f>
        <v>-1e-10</v>
      </c>
    </row>
    <row r="30" ht="20.1" customHeight="1">
      <c r="B30" t="s" s="11">
        <v>27</v>
      </c>
      <c r="C30" s="18">
        <f>C18-C26-C27</f>
        <v>-6605.776841381080</v>
      </c>
      <c r="D30" s="19">
        <f>D18-D26-D27</f>
        <v>-6228.769214348360</v>
      </c>
      <c r="E30" s="19">
        <f>E18-E26-E27</f>
        <v>-5816.044705964040</v>
      </c>
      <c r="F30" s="19">
        <f>F18-F26-F27</f>
        <v>-5380.8185623282</v>
      </c>
    </row>
    <row r="31" ht="20.1" customHeight="1">
      <c r="B31" t="s" s="20">
        <v>28</v>
      </c>
      <c r="C31" s="18"/>
      <c r="D31" s="19"/>
      <c r="E31" s="19"/>
      <c r="F31" s="19"/>
    </row>
    <row r="32" ht="20.1" customHeight="1">
      <c r="B32" t="s" s="11">
        <v>29</v>
      </c>
      <c r="C32" s="18">
        <f>'Cashflow'!L31-C11</f>
        <v>224.5605976982</v>
      </c>
      <c r="D32" s="19">
        <f>C32-D11</f>
        <v>982.6733094194</v>
      </c>
      <c r="E32" s="19">
        <f>D32-E11</f>
        <v>1800.3141567266</v>
      </c>
      <c r="F32" s="19">
        <f>E32-F11</f>
        <v>2655.457729453</v>
      </c>
    </row>
    <row r="33" ht="20.1" customHeight="1">
      <c r="B33" t="s" s="11">
        <v>30</v>
      </c>
      <c r="C33" s="18"/>
      <c r="D33" s="19"/>
      <c r="E33" s="19"/>
      <c r="F33" s="19">
        <v>60557615677440</v>
      </c>
    </row>
    <row r="34" ht="20.1" customHeight="1">
      <c r="B34" t="s" s="11">
        <v>30</v>
      </c>
      <c r="C34" s="18"/>
      <c r="D34" s="19"/>
      <c r="E34" s="19"/>
      <c r="F34" s="19">
        <f>F33/1000000000</f>
        <v>60557.61567744</v>
      </c>
    </row>
    <row r="35" ht="20.1" customHeight="1">
      <c r="B35" t="s" s="11">
        <v>31</v>
      </c>
      <c r="C35" s="18"/>
      <c r="D35" s="19"/>
      <c r="E35" s="19"/>
      <c r="F35" s="24">
        <f>F34/(F18+F25)</f>
        <v>1.79724987616532</v>
      </c>
    </row>
    <row r="36" ht="20.1" customHeight="1">
      <c r="B36" t="s" s="11">
        <v>32</v>
      </c>
      <c r="C36" s="18"/>
      <c r="D36" s="19"/>
      <c r="E36" s="19"/>
      <c r="F36" s="25">
        <f>-(C13+D13+E13+F13)/F34</f>
        <v>0.0262866077862148</v>
      </c>
    </row>
    <row r="37" ht="20.1" customHeight="1">
      <c r="B37" t="s" s="11">
        <v>3</v>
      </c>
      <c r="C37" s="18"/>
      <c r="D37" s="19"/>
      <c r="E37" s="19"/>
      <c r="F37" s="19">
        <f>SUM(C9:F10)</f>
        <v>3201.035729453</v>
      </c>
    </row>
    <row r="38" ht="20.1" customHeight="1">
      <c r="B38" t="s" s="11">
        <v>33</v>
      </c>
      <c r="C38" s="18"/>
      <c r="D38" s="19"/>
      <c r="E38" s="19"/>
      <c r="F38" s="19">
        <f>'Balance sheets '!E30/F37</f>
        <v>8.693123836126359</v>
      </c>
    </row>
    <row r="39" ht="20.1" customHeight="1">
      <c r="B39" t="s" s="11">
        <v>28</v>
      </c>
      <c r="C39" s="18"/>
      <c r="D39" s="19"/>
      <c r="E39" s="19"/>
      <c r="F39" s="19">
        <f>F34/F37</f>
        <v>18.918131753496</v>
      </c>
    </row>
    <row r="40" ht="20.1" customHeight="1">
      <c r="B40" t="s" s="11">
        <v>34</v>
      </c>
      <c r="C40" s="18"/>
      <c r="D40" s="19"/>
      <c r="E40" s="19"/>
      <c r="F40" s="19">
        <v>22</v>
      </c>
    </row>
    <row r="41" ht="20.1" customHeight="1">
      <c r="B41" t="s" s="11">
        <v>35</v>
      </c>
      <c r="C41" s="18"/>
      <c r="D41" s="19"/>
      <c r="E41" s="19"/>
      <c r="F41" s="19">
        <f>F37*F40</f>
        <v>70422.786047966</v>
      </c>
    </row>
    <row r="42" ht="20.1" customHeight="1">
      <c r="B42" t="s" s="11">
        <v>36</v>
      </c>
      <c r="C42" s="18"/>
      <c r="D42" s="19"/>
      <c r="E42" s="19"/>
      <c r="F42" s="19">
        <f>F34/F44</f>
        <v>24.030799872</v>
      </c>
    </row>
    <row r="43" ht="20.1" customHeight="1">
      <c r="B43" t="s" s="11">
        <v>37</v>
      </c>
      <c r="C43" s="18"/>
      <c r="D43" s="19"/>
      <c r="E43" s="19"/>
      <c r="F43" s="19">
        <f>F41/F42</f>
        <v>2930.521931149720</v>
      </c>
    </row>
    <row r="44" ht="20.1" customHeight="1">
      <c r="B44" t="s" s="11">
        <v>38</v>
      </c>
      <c r="C44" s="18"/>
      <c r="D44" s="19"/>
      <c r="E44" s="19"/>
      <c r="F44" s="19">
        <v>2520</v>
      </c>
    </row>
    <row r="45" ht="20.1" customHeight="1">
      <c r="B45" t="s" s="11">
        <v>39</v>
      </c>
      <c r="C45" s="18"/>
      <c r="D45" s="19"/>
      <c r="E45" s="19"/>
      <c r="F45" s="17">
        <f>F43/F44-1</f>
        <v>0.162905528234016</v>
      </c>
    </row>
    <row r="46" ht="20.1" customHeight="1">
      <c r="B46" t="s" s="11">
        <v>40</v>
      </c>
      <c r="C46" s="18"/>
      <c r="D46" s="19"/>
      <c r="E46" s="19"/>
      <c r="F46" s="17">
        <f>'Sales'!C31/'Sales'!C27-1</f>
        <v>0.282196036422067</v>
      </c>
    </row>
    <row r="47" ht="20.1" customHeight="1">
      <c r="B47" t="s" s="11">
        <v>41</v>
      </c>
      <c r="C47" s="18"/>
      <c r="D47" s="19"/>
      <c r="E47" s="19"/>
      <c r="F47" s="17">
        <f>('Sales'!D30+'Sales'!D31+'Sales'!D24+'Sales'!D26+'Sales'!D27+'Sales'!D28+'Sales'!D29)/('Sales'!C24+'Sales'!C25+'Sales'!C26+'Sales'!C27+'Sales'!C28+'Sales'!C30+'Sales'!C31+'Sales'!C29)-1</f>
        <v>-0.0980930632535978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03906" style="26" customWidth="1"/>
    <col min="2" max="2" width="6.46875" style="26" customWidth="1"/>
    <col min="3" max="3" width="10.9766" style="26" customWidth="1"/>
    <col min="4" max="6" width="13.6094" style="26" customWidth="1"/>
    <col min="7" max="12" width="10.9766" style="26" customWidth="1"/>
    <col min="13" max="16384" width="16.3516" style="26" customWidth="1"/>
  </cols>
  <sheetData>
    <row r="1" ht="15.1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6">
        <v>1</v>
      </c>
      <c r="C3" t="s" s="6">
        <v>5</v>
      </c>
      <c r="D3" t="s" s="6">
        <v>34</v>
      </c>
      <c r="E3" t="s" s="6">
        <v>23</v>
      </c>
      <c r="F3" t="s" s="6">
        <v>42</v>
      </c>
      <c r="G3" t="s" s="6">
        <v>43</v>
      </c>
      <c r="H3" t="s" s="6">
        <v>44</v>
      </c>
      <c r="I3" t="s" s="6">
        <v>45</v>
      </c>
      <c r="J3" t="s" s="6">
        <v>45</v>
      </c>
      <c r="K3" t="s" s="6">
        <v>34</v>
      </c>
      <c r="L3" t="s" s="6">
        <v>46</v>
      </c>
    </row>
    <row r="4" ht="20.25" customHeight="1">
      <c r="B4" s="27">
        <v>2015</v>
      </c>
      <c r="C4" s="28">
        <v>2866.614</v>
      </c>
      <c r="D4" s="29"/>
      <c r="E4" s="30">
        <v>0</v>
      </c>
      <c r="F4" s="30"/>
      <c r="G4" s="30">
        <v>-240</v>
      </c>
      <c r="H4" s="31"/>
      <c r="I4" s="31">
        <f>(E4+G4-F4-C4)/C4</f>
        <v>-1.08372246838954</v>
      </c>
      <c r="J4" s="31"/>
      <c r="K4" s="31"/>
      <c r="L4" s="31">
        <f>('Cashflow'!D4-'Cashflow'!C4)/'Cashflow'!C4</f>
        <v>-1.09536110241153</v>
      </c>
    </row>
    <row r="5" ht="20.05" customHeight="1">
      <c r="B5" s="32"/>
      <c r="C5" s="18">
        <v>4982.401</v>
      </c>
      <c r="D5" s="22"/>
      <c r="E5" s="19">
        <v>0</v>
      </c>
      <c r="F5" s="19"/>
      <c r="G5" s="19">
        <v>-156</v>
      </c>
      <c r="H5" s="17">
        <f>C5/C4-1</f>
        <v>0.738078792610376</v>
      </c>
      <c r="I5" s="17">
        <f>(E5+G5-F5-C5)/C5</f>
        <v>-1.03131020566189</v>
      </c>
      <c r="J5" s="17"/>
      <c r="K5" s="17"/>
      <c r="L5" s="17">
        <f>('Cashflow'!D5-'Cashflow'!C5)/'Cashflow'!C5</f>
        <v>-1.12304324716115</v>
      </c>
    </row>
    <row r="6" ht="20.05" customHeight="1">
      <c r="B6" s="32"/>
      <c r="C6" s="18">
        <v>1194.771</v>
      </c>
      <c r="D6" s="22"/>
      <c r="E6" s="19">
        <v>0</v>
      </c>
      <c r="F6" s="19"/>
      <c r="G6" s="19">
        <v>-642</v>
      </c>
      <c r="H6" s="17">
        <f>C6/C5-1</f>
        <v>-0.76020175814833</v>
      </c>
      <c r="I6" s="17">
        <f>(E6+G6-F6-C6)/C6</f>
        <v>-1.53734146543564</v>
      </c>
      <c r="J6" s="17"/>
      <c r="K6" s="17"/>
      <c r="L6" s="17">
        <f>('Cashflow'!D6-'Cashflow'!C6)/'Cashflow'!C6</f>
        <v>-0.484407478427613</v>
      </c>
    </row>
    <row r="7" ht="20.05" customHeight="1">
      <c r="B7" s="32"/>
      <c r="C7" s="18">
        <v>1487.719</v>
      </c>
      <c r="D7" s="22"/>
      <c r="E7" s="19">
        <v>0</v>
      </c>
      <c r="F7" s="19"/>
      <c r="G7" s="19">
        <v>-402</v>
      </c>
      <c r="H7" s="17">
        <f>C7/C6-1</f>
        <v>0.245191756411898</v>
      </c>
      <c r="I7" s="17">
        <f>(E7+G7-F7-C7)/C7</f>
        <v>-1.27021231832087</v>
      </c>
      <c r="J7" s="17"/>
      <c r="K7" s="17"/>
      <c r="L7" s="17">
        <f>('Cashflow'!D7-'Cashflow'!C7)/'Cashflow'!C7</f>
        <v>-0.8648762641284951</v>
      </c>
    </row>
    <row r="8" ht="20.05" customHeight="1">
      <c r="B8" s="33">
        <v>2016</v>
      </c>
      <c r="C8" s="18">
        <v>1981.708</v>
      </c>
      <c r="D8" s="22"/>
      <c r="E8" s="19">
        <v>0</v>
      </c>
      <c r="F8" s="19"/>
      <c r="G8" s="19">
        <v>5</v>
      </c>
      <c r="H8" s="17">
        <f>C8/C7-1</f>
        <v>0.332044559490065</v>
      </c>
      <c r="I8" s="17">
        <f>(E8+G8-F8-C8)/C8</f>
        <v>-0.997476923946414</v>
      </c>
      <c r="J8" s="17"/>
      <c r="K8" s="17"/>
      <c r="L8" s="17">
        <f>('Cashflow'!D8-'Cashflow'!C8)/'Cashflow'!C8</f>
        <v>-0.998743106617647</v>
      </c>
    </row>
    <row r="9" ht="20.05" customHeight="1">
      <c r="B9" s="32"/>
      <c r="C9" s="18">
        <v>2180.953</v>
      </c>
      <c r="D9" s="22"/>
      <c r="E9" s="19">
        <v>0</v>
      </c>
      <c r="F9" s="19"/>
      <c r="G9" s="19">
        <v>6</v>
      </c>
      <c r="H9" s="17">
        <f>C9/C8-1</f>
        <v>0.100542057659352</v>
      </c>
      <c r="I9" s="17">
        <f>(E9+G9-F9-C9)/C9</f>
        <v>-0.997248909077821</v>
      </c>
      <c r="J9" s="17"/>
      <c r="K9" s="17"/>
      <c r="L9" s="17">
        <f>('Cashflow'!D9-'Cashflow'!C9)/'Cashflow'!C9</f>
        <v>-0.731727085478888</v>
      </c>
    </row>
    <row r="10" ht="20.05" customHeight="1">
      <c r="B10" s="32"/>
      <c r="C10" s="18">
        <v>2282.579</v>
      </c>
      <c r="D10" s="22"/>
      <c r="E10" s="19">
        <v>0</v>
      </c>
      <c r="F10" s="19"/>
      <c r="G10" s="19">
        <v>27</v>
      </c>
      <c r="H10" s="17">
        <f>C10/C9-1</f>
        <v>0.0465970610095678</v>
      </c>
      <c r="I10" s="17">
        <f>(E10+G10-F10-C10)/C10</f>
        <v>-0.988171274685345</v>
      </c>
      <c r="J10" s="17"/>
      <c r="K10" s="17"/>
      <c r="L10" s="17">
        <f>('Cashflow'!D10-'Cashflow'!C10)/'Cashflow'!C10</f>
        <v>-0.924948368442792</v>
      </c>
    </row>
    <row r="11" ht="20.05" customHeight="1">
      <c r="B11" s="32"/>
      <c r="C11" s="18">
        <v>2661.021</v>
      </c>
      <c r="D11" s="22"/>
      <c r="E11" s="19">
        <v>0</v>
      </c>
      <c r="F11" s="19"/>
      <c r="G11" s="19">
        <v>27</v>
      </c>
      <c r="H11" s="17">
        <f>C11/C10-1</f>
        <v>0.165795795019581</v>
      </c>
      <c r="I11" s="17">
        <f>(E11+G11-F11-C11)/C11</f>
        <v>-0.989853518630631</v>
      </c>
      <c r="J11" s="17"/>
      <c r="K11" s="17"/>
      <c r="L11" s="17">
        <f>('Cashflow'!D11-'Cashflow'!C11)/'Cashflow'!C11</f>
        <v>-0.865347089487402</v>
      </c>
    </row>
    <row r="12" ht="20.05" customHeight="1">
      <c r="B12" s="33">
        <v>2017</v>
      </c>
      <c r="C12" s="18">
        <v>1650.819</v>
      </c>
      <c r="D12" s="22"/>
      <c r="E12" s="19">
        <v>180</v>
      </c>
      <c r="F12" s="19"/>
      <c r="G12" s="19">
        <v>6</v>
      </c>
      <c r="H12" s="17">
        <f>C12/C11-1</f>
        <v>-0.379629473048127</v>
      </c>
      <c r="I12" s="17">
        <f>(E12+G12-F12-C12)/C12</f>
        <v>-0.887328653232123</v>
      </c>
      <c r="J12" s="17">
        <f>AVERAGE(I9:I12)</f>
        <v>-0.96565058890648</v>
      </c>
      <c r="K12" s="17"/>
      <c r="L12" s="17">
        <f>('Cashflow'!D12-'Cashflow'!C12)/'Cashflow'!C12</f>
        <v>-0.92165788165092</v>
      </c>
    </row>
    <row r="13" ht="20.05" customHeight="1">
      <c r="B13" s="32"/>
      <c r="C13" s="18">
        <v>1360.268</v>
      </c>
      <c r="D13" s="22"/>
      <c r="E13" s="19">
        <v>197</v>
      </c>
      <c r="F13" s="19"/>
      <c r="G13" s="19">
        <v>-502</v>
      </c>
      <c r="H13" s="17">
        <f>C13/C12-1</f>
        <v>-0.176004153090072</v>
      </c>
      <c r="I13" s="17">
        <f>(E13+G13-F13-C13)/C13</f>
        <v>-1.22422052125022</v>
      </c>
      <c r="J13" s="17">
        <f>AVERAGE(I10:I13)</f>
        <v>-1.02239349194958</v>
      </c>
      <c r="K13" s="17"/>
      <c r="L13" s="17">
        <f>('Cashflow'!D13-'Cashflow'!C13)/'Cashflow'!C13</f>
        <v>-1.44331517241379</v>
      </c>
    </row>
    <row r="14" ht="20.05" customHeight="1">
      <c r="B14" s="32"/>
      <c r="C14" s="18">
        <v>3950.956</v>
      </c>
      <c r="D14" s="22"/>
      <c r="E14" s="19">
        <v>260</v>
      </c>
      <c r="F14" s="19"/>
      <c r="G14" s="19">
        <v>165</v>
      </c>
      <c r="H14" s="17">
        <f>C14/C13-1</f>
        <v>1.9045423401859</v>
      </c>
      <c r="I14" s="17">
        <f>(E14+G14-F14-C14)/C14</f>
        <v>-0.8924310976887621</v>
      </c>
      <c r="J14" s="17">
        <f>AVERAGE(I11:I14)</f>
        <v>-0.998458447700434</v>
      </c>
      <c r="K14" s="17"/>
      <c r="L14" s="17">
        <f>('Cashflow'!D14-'Cashflow'!C14)/'Cashflow'!C14</f>
        <v>-0.741533583088039</v>
      </c>
    </row>
    <row r="15" ht="20.05" customHeight="1">
      <c r="B15" s="32"/>
      <c r="C15" s="18">
        <v>5691.576</v>
      </c>
      <c r="D15" s="22"/>
      <c r="E15" s="19">
        <v>193</v>
      </c>
      <c r="F15" s="19"/>
      <c r="G15" s="19">
        <v>468</v>
      </c>
      <c r="H15" s="17">
        <f>C15/C14-1</f>
        <v>0.440556665272911</v>
      </c>
      <c r="I15" s="17">
        <f>(E15+G15-F15-C15)/C15</f>
        <v>-0.883863450123481</v>
      </c>
      <c r="J15" s="17">
        <f>AVERAGE(I12:I15)</f>
        <v>-0.971960930573647</v>
      </c>
      <c r="K15" s="17"/>
      <c r="L15" s="17">
        <f>('Cashflow'!D15-'Cashflow'!C15)/'Cashflow'!C15</f>
        <v>-0.821752033326721</v>
      </c>
    </row>
    <row r="16" ht="20.05" customHeight="1">
      <c r="B16" s="33">
        <v>2018</v>
      </c>
      <c r="C16" s="18">
        <v>5731.416</v>
      </c>
      <c r="D16" s="22"/>
      <c r="E16" s="19">
        <v>227</v>
      </c>
      <c r="F16" s="19"/>
      <c r="G16" s="19">
        <v>245</v>
      </c>
      <c r="H16" s="17">
        <f>C16/C15-1</f>
        <v>0.00699981867939565</v>
      </c>
      <c r="I16" s="17">
        <f>(E16+G16-F16-C16)/C16</f>
        <v>-0.9176468781885661</v>
      </c>
      <c r="J16" s="17">
        <f>AVERAGE(I13:I16)</f>
        <v>-0.979540486812757</v>
      </c>
      <c r="K16" s="17"/>
      <c r="L16" s="17">
        <f>('Cashflow'!D16-'Cashflow'!C16)/'Cashflow'!C16</f>
        <v>-0.991487307949232</v>
      </c>
    </row>
    <row r="17" ht="20.05" customHeight="1">
      <c r="B17" s="32"/>
      <c r="C17" s="18">
        <v>6084.432</v>
      </c>
      <c r="D17" s="22"/>
      <c r="E17" s="19">
        <v>230</v>
      </c>
      <c r="F17" s="19"/>
      <c r="G17" s="19">
        <v>99</v>
      </c>
      <c r="H17" s="17">
        <f>C17/C16-1</f>
        <v>0.0615931560368328</v>
      </c>
      <c r="I17" s="17">
        <f>(E17+G17-F17-C17)/C17</f>
        <v>-0.945927573847485</v>
      </c>
      <c r="J17" s="17">
        <f>AVERAGE(I14:I17)</f>
        <v>-0.909967249962074</v>
      </c>
      <c r="K17" s="17"/>
      <c r="L17" s="17">
        <f>('Cashflow'!D17-'Cashflow'!C17)/'Cashflow'!C17</f>
        <v>-1.01728749098774</v>
      </c>
    </row>
    <row r="18" ht="20.05" customHeight="1">
      <c r="B18" s="32"/>
      <c r="C18" s="18">
        <v>8135.801</v>
      </c>
      <c r="D18" s="22"/>
      <c r="E18" s="19">
        <v>255</v>
      </c>
      <c r="F18" s="19"/>
      <c r="G18" s="19">
        <v>287</v>
      </c>
      <c r="H18" s="17">
        <f>C18/C17-1</f>
        <v>0.337150452170392</v>
      </c>
      <c r="I18" s="17">
        <f>(E18+G18-F18-C18)/C18</f>
        <v>-0.933380868091538</v>
      </c>
      <c r="J18" s="17">
        <f>AVERAGE(I15:I18)</f>
        <v>-0.920204692562768</v>
      </c>
      <c r="K18" s="17"/>
      <c r="L18" s="17">
        <f>('Cashflow'!D18-'Cashflow'!C18)/'Cashflow'!C18</f>
        <v>-0.849783954363394</v>
      </c>
    </row>
    <row r="19" ht="20.05" customHeight="1">
      <c r="B19" s="32"/>
      <c r="C19" s="18">
        <v>5323.551</v>
      </c>
      <c r="D19" s="22"/>
      <c r="E19" s="19">
        <v>140</v>
      </c>
      <c r="F19" s="19"/>
      <c r="G19" s="19">
        <v>1005</v>
      </c>
      <c r="H19" s="17">
        <f>C19/C18-1</f>
        <v>-0.34566356772984</v>
      </c>
      <c r="I19" s="17">
        <f>(E19+G19-F19-C19)/C19</f>
        <v>-0.78491799928281</v>
      </c>
      <c r="J19" s="17">
        <f>AVERAGE(I16:I19)</f>
        <v>-0.8954683298526001</v>
      </c>
      <c r="K19" s="17"/>
      <c r="L19" s="17">
        <f>('Cashflow'!D19-'Cashflow'!C19)/'Cashflow'!C19</f>
        <v>-0.881790194040194</v>
      </c>
    </row>
    <row r="20" ht="20.05" customHeight="1">
      <c r="B20" s="33">
        <v>2019</v>
      </c>
      <c r="C20" s="18">
        <v>6219</v>
      </c>
      <c r="D20" s="22"/>
      <c r="E20" s="19">
        <v>281.3</v>
      </c>
      <c r="F20" s="19">
        <v>-33</v>
      </c>
      <c r="G20" s="19">
        <v>171.7</v>
      </c>
      <c r="H20" s="17">
        <f>C20/C19-1</f>
        <v>0.168205207388827</v>
      </c>
      <c r="I20" s="17">
        <f>(E20+G20-F20-C20)/C20</f>
        <v>-0.921852387843705</v>
      </c>
      <c r="J20" s="17">
        <f>AVERAGE(I17:I20)</f>
        <v>-0.896519707266385</v>
      </c>
      <c r="K20" s="17"/>
      <c r="L20" s="17">
        <f>('Cashflow'!D20-'Cashflow'!C20)/'Cashflow'!C20</f>
        <v>-1.16533758639022</v>
      </c>
    </row>
    <row r="21" ht="20.05" customHeight="1">
      <c r="B21" s="32"/>
      <c r="C21" s="18">
        <v>8207</v>
      </c>
      <c r="D21" s="22"/>
      <c r="E21" s="19">
        <v>250.3</v>
      </c>
      <c r="F21" s="19">
        <v>233</v>
      </c>
      <c r="G21" s="19">
        <v>194.3</v>
      </c>
      <c r="H21" s="17">
        <f>C21/C20-1</f>
        <v>0.319665541083776</v>
      </c>
      <c r="I21" s="17">
        <f>(E21+G21-F21-C21)/C21</f>
        <v>-0.974217131716827</v>
      </c>
      <c r="J21" s="17">
        <f>AVERAGE(I18:I21)</f>
        <v>-0.90359209673372</v>
      </c>
      <c r="K21" s="17"/>
      <c r="L21" s="17">
        <f>('Cashflow'!D21-'Cashflow'!C21)/'Cashflow'!C21</f>
        <v>-0.993905353728489</v>
      </c>
    </row>
    <row r="22" ht="20.05" customHeight="1">
      <c r="B22" s="32"/>
      <c r="C22" s="18">
        <v>10111</v>
      </c>
      <c r="D22" s="22"/>
      <c r="E22" s="19">
        <v>327.4</v>
      </c>
      <c r="F22" s="19">
        <v>-142</v>
      </c>
      <c r="G22" s="19">
        <v>195</v>
      </c>
      <c r="H22" s="17">
        <f>C22/C21-1</f>
        <v>0.231997075667113</v>
      </c>
      <c r="I22" s="17">
        <f>(E22+G22-F22-C22)/C22</f>
        <v>-0.93428938779547</v>
      </c>
      <c r="J22" s="17">
        <f>AVERAGE(I19:I22)</f>
        <v>-0.903819226659703</v>
      </c>
      <c r="K22" s="17"/>
      <c r="L22" s="17">
        <f>('Cashflow'!D22-'Cashflow'!C22)/'Cashflow'!C22</f>
        <v>-0.938811188811189</v>
      </c>
    </row>
    <row r="23" ht="20.05" customHeight="1">
      <c r="B23" s="32"/>
      <c r="C23" s="18">
        <v>8181.5</v>
      </c>
      <c r="D23" s="22"/>
      <c r="E23" s="19">
        <v>260</v>
      </c>
      <c r="F23" s="19">
        <v>254</v>
      </c>
      <c r="G23" s="19">
        <v>-367.2</v>
      </c>
      <c r="H23" s="17">
        <f>C23/C22-1</f>
        <v>-0.190831767382059</v>
      </c>
      <c r="I23" s="17">
        <f>(E23+G23-F23-C23)/C23</f>
        <v>-1.04414838354825</v>
      </c>
      <c r="J23" s="17">
        <f>AVERAGE(I20:I23)</f>
        <v>-0.968626822726063</v>
      </c>
      <c r="K23" s="17"/>
      <c r="L23" s="17">
        <f>('Cashflow'!D23-'Cashflow'!C23)/'Cashflow'!C23</f>
        <v>-0.769884075655888</v>
      </c>
    </row>
    <row r="24" ht="20.05" customHeight="1">
      <c r="B24" s="33">
        <v>2020</v>
      </c>
      <c r="C24" s="18">
        <v>5203</v>
      </c>
      <c r="D24" s="19">
        <v>6219</v>
      </c>
      <c r="E24" s="19">
        <v>238</v>
      </c>
      <c r="F24" s="19">
        <v>-1062</v>
      </c>
      <c r="G24" s="19">
        <v>-282</v>
      </c>
      <c r="H24" s="17">
        <f>C24/C23-1</f>
        <v>-0.364053046507364</v>
      </c>
      <c r="I24" s="17">
        <f>(E24+G24-F24-C24)/C24</f>
        <v>-0.804343647895445</v>
      </c>
      <c r="J24" s="17">
        <f>AVERAGE(I21:I24)</f>
        <v>-0.9392496377389979</v>
      </c>
      <c r="K24" s="17"/>
      <c r="L24" s="17">
        <f>('Cashflow'!D24-'Cashflow'!C24)/'Cashflow'!C24</f>
        <v>-0.996644771879993</v>
      </c>
    </row>
    <row r="25" ht="20.05" customHeight="1">
      <c r="B25" s="32"/>
      <c r="C25" s="18">
        <v>4023</v>
      </c>
      <c r="D25" s="19">
        <v>5991.11</v>
      </c>
      <c r="E25" s="19">
        <v>248</v>
      </c>
      <c r="F25" s="19">
        <v>906</v>
      </c>
      <c r="G25" s="19">
        <v>367</v>
      </c>
      <c r="H25" s="17">
        <f>C25/C24-1</f>
        <v>-0.226792235248895</v>
      </c>
      <c r="I25" s="17">
        <f>(E25+G25-F25-C25)/C25</f>
        <v>-1.07233407904549</v>
      </c>
      <c r="J25" s="17">
        <f>AVERAGE(I22:I25)</f>
        <v>-0.963778874571164</v>
      </c>
      <c r="K25" s="17"/>
      <c r="L25" s="17">
        <f>('Cashflow'!D25-'Cashflow'!C25)/'Cashflow'!C25</f>
        <v>-0.973640167364017</v>
      </c>
    </row>
    <row r="26" ht="20.05" customHeight="1">
      <c r="B26" s="32"/>
      <c r="C26" s="18">
        <f>18037-SUM(C24:C25)</f>
        <v>8811</v>
      </c>
      <c r="D26" s="19">
        <v>6572.15</v>
      </c>
      <c r="E26" s="19">
        <f>746-SUM(E24:E25)</f>
        <v>260</v>
      </c>
      <c r="F26" s="19">
        <f>239-SUM(F24:F25)</f>
        <v>395</v>
      </c>
      <c r="G26" s="19">
        <v>751</v>
      </c>
      <c r="H26" s="17">
        <f>C26/C25-1</f>
        <v>1.19015659955257</v>
      </c>
      <c r="I26" s="17">
        <f>(E26+G26-F26-C26)/C26</f>
        <v>-0.930087390761548</v>
      </c>
      <c r="J26" s="17">
        <f>AVERAGE(I23:I26)</f>
        <v>-0.962728375312683</v>
      </c>
      <c r="K26" s="17"/>
      <c r="L26" s="17">
        <f>('Cashflow'!D26-'Cashflow'!C26)/'Cashflow'!C26</f>
        <v>-0.885908358277688</v>
      </c>
    </row>
    <row r="27" ht="20.05" customHeight="1">
      <c r="B27" s="32"/>
      <c r="C27" s="18">
        <v>9335</v>
      </c>
      <c r="D27" s="19">
        <v>7489.35</v>
      </c>
      <c r="E27" s="19">
        <v>353</v>
      </c>
      <c r="F27" s="19">
        <v>-105</v>
      </c>
      <c r="G27" s="19">
        <v>313</v>
      </c>
      <c r="H27" s="17">
        <f>C27/C26-1</f>
        <v>0.0594711156508909</v>
      </c>
      <c r="I27" s="17">
        <f>(G27-F27+E27-C27)/C27</f>
        <v>-0.9174076057846809</v>
      </c>
      <c r="J27" s="17">
        <f>AVERAGE(I24:I27)</f>
        <v>-0.9310431808717911</v>
      </c>
      <c r="K27" s="17"/>
      <c r="L27" s="17">
        <f>('Cashflow'!D27-'Cashflow'!C27)/'Cashflow'!C27</f>
        <v>-0.878029883785279</v>
      </c>
    </row>
    <row r="28" ht="20.05" customHeight="1">
      <c r="B28" s="33">
        <v>2021</v>
      </c>
      <c r="C28" s="18">
        <v>9210.5</v>
      </c>
      <c r="D28" s="19">
        <v>10268.5</v>
      </c>
      <c r="E28" s="19">
        <v>212.4</v>
      </c>
      <c r="F28" s="19">
        <v>165.9</v>
      </c>
      <c r="G28" s="19">
        <v>630.4</v>
      </c>
      <c r="H28" s="17">
        <f>C28/C27-1</f>
        <v>-0.0133369041242635</v>
      </c>
      <c r="I28" s="17">
        <f>(G28-F28+E28-C28)/C28</f>
        <v>-0.926507790022257</v>
      </c>
      <c r="J28" s="17">
        <f>AVERAGE(I25:I28)</f>
        <v>-0.961584216403494</v>
      </c>
      <c r="K28" s="17"/>
      <c r="L28" s="17">
        <f>('Cashflow'!D28-'Cashflow'!C28)/'Cashflow'!C28</f>
        <v>-0.799650491230313</v>
      </c>
    </row>
    <row r="29" ht="20.05" customHeight="1">
      <c r="B29" s="32"/>
      <c r="C29" s="18">
        <f>17275-C28</f>
        <v>8064.5</v>
      </c>
      <c r="D29" s="19">
        <v>9763.129999999999</v>
      </c>
      <c r="E29" s="34">
        <f>434-E28</f>
        <v>221.6</v>
      </c>
      <c r="F29" s="34">
        <f>135-F28</f>
        <v>-30.9</v>
      </c>
      <c r="G29" s="34">
        <f>1160-G28</f>
        <v>529.6</v>
      </c>
      <c r="H29" s="17">
        <f>C29/C28-1</f>
        <v>-0.12442321263775</v>
      </c>
      <c r="I29" s="17">
        <f>(G29-F29+E29-C29)/C29</f>
        <v>-0.903019406038812</v>
      </c>
      <c r="J29" s="17">
        <f>AVERAGE(I26:I29)</f>
        <v>-0.919255548151825</v>
      </c>
      <c r="K29" s="17"/>
      <c r="L29" s="17">
        <f>('Cashflow'!D29-'Cashflow'!C29)/'Cashflow'!C29</f>
        <v>-0.934355966614031</v>
      </c>
    </row>
    <row r="30" ht="20.05" customHeight="1">
      <c r="B30" s="32"/>
      <c r="C30" s="18">
        <f>26476.3-SUM(C28:C29)</f>
        <v>9201.299999999999</v>
      </c>
      <c r="D30" s="15">
        <v>8467.725</v>
      </c>
      <c r="E30" s="19">
        <f>663.4-SUM(E28:E29)</f>
        <v>229.4</v>
      </c>
      <c r="F30" s="19">
        <f>50.9-SUM(F28:F29)</f>
        <v>-84.09999999999999</v>
      </c>
      <c r="G30" s="19">
        <f>1710.5-SUM(G28:G29)</f>
        <v>550.5</v>
      </c>
      <c r="H30" s="17">
        <f>C30/C29-1</f>
        <v>0.140963481926964</v>
      </c>
      <c r="I30" s="17">
        <f>(G30-F30+E30-C30)/C30</f>
        <v>-0.906100224968211</v>
      </c>
      <c r="J30" s="17">
        <f>AVERAGE(I27:I30)</f>
        <v>-0.91325875670349</v>
      </c>
      <c r="K30" s="17"/>
      <c r="L30" s="17">
        <f>('Cashflow'!D30-'Cashflow'!C30)/'Cashflow'!C30</f>
        <v>-0.7896580775079109</v>
      </c>
    </row>
    <row r="31" ht="20.05" customHeight="1">
      <c r="B31" s="32"/>
      <c r="C31" s="18">
        <f>38445.6-SUM(C28:C30)</f>
        <v>11969.3</v>
      </c>
      <c r="D31" s="19">
        <v>10581.495</v>
      </c>
      <c r="E31" s="34">
        <f>901.2-SUM(E28:E30)</f>
        <v>237.8</v>
      </c>
      <c r="F31" s="34">
        <f>60.6-SUM(F28:F30)</f>
        <v>9.699999999999999</v>
      </c>
      <c r="G31" s="34">
        <f>1861.7-SUM(G28:G30)</f>
        <v>151.2</v>
      </c>
      <c r="H31" s="17">
        <f>C31/C30-1</f>
        <v>0.300827057046287</v>
      </c>
      <c r="I31" s="17">
        <f>(G31-F31+E31-C31)/C31</f>
        <v>-0.96831059460453</v>
      </c>
      <c r="J31" s="17">
        <f>AVERAGE(I28:I31)</f>
        <v>-0.925984503908453</v>
      </c>
      <c r="K31" s="17">
        <f>J31</f>
        <v>-0.925984503908453</v>
      </c>
      <c r="L31" s="17">
        <f>('Cashflow'!D31-'Cashflow'!C31)/'Cashflow'!C31</f>
        <v>-0.949379873492481</v>
      </c>
    </row>
    <row r="32" ht="20.05" customHeight="1">
      <c r="B32" s="33">
        <v>2022</v>
      </c>
      <c r="C32" s="18"/>
      <c r="D32" s="19">
        <f>'Model'!C6</f>
        <v>12807.151</v>
      </c>
      <c r="E32" s="22"/>
      <c r="F32" s="22"/>
      <c r="G32" s="22"/>
      <c r="H32" s="13"/>
      <c r="I32" s="23"/>
      <c r="J32" s="17"/>
      <c r="K32" s="17">
        <f>'Model'!C7</f>
        <v>-0.906100224968211</v>
      </c>
      <c r="L32" s="17"/>
    </row>
    <row r="33" ht="20.05" customHeight="1">
      <c r="B33" s="32"/>
      <c r="C33" s="18"/>
      <c r="D33" s="19">
        <f>'Model'!D6</f>
        <v>12679.07949</v>
      </c>
      <c r="E33" s="22"/>
      <c r="F33" s="22"/>
      <c r="G33" s="22"/>
      <c r="H33" s="13"/>
      <c r="I33" s="23"/>
      <c r="J33" s="13"/>
      <c r="K33" s="13"/>
      <c r="L33" s="13"/>
    </row>
    <row r="34" ht="20.05" customHeight="1">
      <c r="B34" s="32"/>
      <c r="C34" s="18"/>
      <c r="D34" s="19">
        <f>'Model'!E6</f>
        <v>13313.0334645</v>
      </c>
      <c r="E34" s="22"/>
      <c r="F34" s="22"/>
      <c r="G34" s="22"/>
      <c r="H34" s="13"/>
      <c r="I34" s="13"/>
      <c r="J34" s="13"/>
      <c r="K34" s="13"/>
      <c r="L34" s="13"/>
    </row>
    <row r="35" ht="20.05" customHeight="1">
      <c r="B35" s="32"/>
      <c r="C35" s="18"/>
      <c r="D35" s="19">
        <f>'Model'!F6</f>
        <v>13712.424468435</v>
      </c>
      <c r="E35" s="22"/>
      <c r="F35" s="22"/>
      <c r="G35" s="22"/>
      <c r="H35" s="13"/>
      <c r="I35" s="13"/>
      <c r="J35" s="13"/>
      <c r="K35" s="13"/>
      <c r="L35" s="13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6406" style="35" customWidth="1"/>
    <col min="2" max="2" width="8.69531" style="35" customWidth="1"/>
    <col min="3" max="13" width="11.3203" style="35" customWidth="1"/>
    <col min="14" max="16384" width="16.3516" style="35" customWidth="1"/>
  </cols>
  <sheetData>
    <row r="1" ht="12.2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6">
        <v>1</v>
      </c>
      <c r="C3" t="s" s="6">
        <v>47</v>
      </c>
      <c r="D3" t="s" s="6">
        <v>48</v>
      </c>
      <c r="E3" t="s" s="6">
        <v>49</v>
      </c>
      <c r="F3" t="s" s="6">
        <v>50</v>
      </c>
      <c r="G3" t="s" s="6">
        <v>11</v>
      </c>
      <c r="H3" t="s" s="6">
        <v>12</v>
      </c>
      <c r="I3" t="s" s="6">
        <v>51</v>
      </c>
      <c r="J3" t="s" s="6">
        <v>3</v>
      </c>
      <c r="K3" t="s" s="6">
        <v>34</v>
      </c>
      <c r="L3" t="s" s="6">
        <v>29</v>
      </c>
      <c r="M3" t="s" s="6">
        <v>34</v>
      </c>
    </row>
    <row r="4" ht="20.25" customHeight="1">
      <c r="B4" s="27">
        <v>2015</v>
      </c>
      <c r="C4" s="28">
        <v>3193</v>
      </c>
      <c r="D4" s="30">
        <v>-304.488</v>
      </c>
      <c r="E4" s="30">
        <v>-254.566</v>
      </c>
      <c r="F4" s="30"/>
      <c r="G4" s="30">
        <v>775.963</v>
      </c>
      <c r="H4" s="30"/>
      <c r="I4" s="30">
        <f>D4+E4</f>
        <v>-559.054</v>
      </c>
      <c r="J4" s="29"/>
      <c r="K4" s="30"/>
      <c r="L4" s="30">
        <f>-G4</f>
        <v>-775.963</v>
      </c>
      <c r="M4" s="30"/>
    </row>
    <row r="5" ht="20.05" customHeight="1">
      <c r="B5" s="32"/>
      <c r="C5" s="18">
        <v>4139</v>
      </c>
      <c r="D5" s="19">
        <v>-509.276</v>
      </c>
      <c r="E5" s="19">
        <v>-325.076</v>
      </c>
      <c r="F5" s="19"/>
      <c r="G5" s="19">
        <v>-93.655</v>
      </c>
      <c r="H5" s="19"/>
      <c r="I5" s="19">
        <f>D5+E5</f>
        <v>-834.352</v>
      </c>
      <c r="J5" s="22"/>
      <c r="K5" s="19"/>
      <c r="L5" s="19">
        <f>-(G5+H5)+L4</f>
        <v>-682.308</v>
      </c>
      <c r="M5" s="19"/>
    </row>
    <row r="6" ht="20.05" customHeight="1">
      <c r="B6" s="32"/>
      <c r="C6" s="18">
        <v>2086</v>
      </c>
      <c r="D6" s="19">
        <v>1075.526</v>
      </c>
      <c r="E6" s="19">
        <v>-397.956</v>
      </c>
      <c r="F6" s="19"/>
      <c r="G6" s="19">
        <v>-39.138</v>
      </c>
      <c r="H6" s="19"/>
      <c r="I6" s="19">
        <f>D6+E6</f>
        <v>677.5700000000001</v>
      </c>
      <c r="J6" s="22"/>
      <c r="K6" s="19"/>
      <c r="L6" s="19">
        <f>-(G6+H6)+L5</f>
        <v>-643.17</v>
      </c>
      <c r="M6" s="19"/>
    </row>
    <row r="7" ht="20.05" customHeight="1">
      <c r="B7" s="32"/>
      <c r="C7" s="18">
        <v>1681</v>
      </c>
      <c r="D7" s="19">
        <v>227.143</v>
      </c>
      <c r="E7" s="19">
        <v>-1126.287</v>
      </c>
      <c r="F7" s="19"/>
      <c r="G7" s="19">
        <v>6244.206</v>
      </c>
      <c r="H7" s="19"/>
      <c r="I7" s="19">
        <f>D7+E7</f>
        <v>-899.144</v>
      </c>
      <c r="J7" s="22"/>
      <c r="K7" s="19"/>
      <c r="L7" s="19">
        <f>-(G7+H7)+L6</f>
        <v>-6887.376</v>
      </c>
      <c r="M7" s="19"/>
    </row>
    <row r="8" ht="20.05" customHeight="1">
      <c r="B8" s="33">
        <v>2016</v>
      </c>
      <c r="C8" s="18">
        <v>2176</v>
      </c>
      <c r="D8" s="19">
        <v>2.735</v>
      </c>
      <c r="E8" s="19">
        <v>-166.639</v>
      </c>
      <c r="F8" s="19"/>
      <c r="G8" s="19">
        <v>-19.822</v>
      </c>
      <c r="H8" s="19"/>
      <c r="I8" s="19">
        <f>D8+E8</f>
        <v>-163.904</v>
      </c>
      <c r="J8" s="19">
        <f>AVERAGE(I5:I8)</f>
        <v>-304.9575</v>
      </c>
      <c r="K8" s="19"/>
      <c r="L8" s="19">
        <f>-(G8+H8)+L7</f>
        <v>-6867.554</v>
      </c>
      <c r="M8" s="19"/>
    </row>
    <row r="9" ht="20.05" customHeight="1">
      <c r="B9" s="32"/>
      <c r="C9" s="18">
        <v>1942</v>
      </c>
      <c r="D9" s="19">
        <v>520.986</v>
      </c>
      <c r="E9" s="19">
        <v>-885.917</v>
      </c>
      <c r="F9" s="19"/>
      <c r="G9" s="19">
        <v>270.25</v>
      </c>
      <c r="H9" s="19"/>
      <c r="I9" s="19">
        <f>D9+E9</f>
        <v>-364.931</v>
      </c>
      <c r="J9" s="19">
        <f>AVERAGE(I6:I9)</f>
        <v>-187.60225</v>
      </c>
      <c r="K9" s="19"/>
      <c r="L9" s="19">
        <f>-(G9+H9)+L8</f>
        <v>-7137.804</v>
      </c>
      <c r="M9" s="19"/>
    </row>
    <row r="10" ht="20.05" customHeight="1">
      <c r="B10" s="32"/>
      <c r="C10" s="18">
        <v>2421</v>
      </c>
      <c r="D10" s="19">
        <v>181.7</v>
      </c>
      <c r="E10" s="19">
        <v>-146.917</v>
      </c>
      <c r="F10" s="19"/>
      <c r="G10" s="19">
        <v>-50.106</v>
      </c>
      <c r="H10" s="19"/>
      <c r="I10" s="19">
        <f>D10+E10</f>
        <v>34.783</v>
      </c>
      <c r="J10" s="19">
        <f>AVERAGE(I7:I10)</f>
        <v>-348.299</v>
      </c>
      <c r="K10" s="19"/>
      <c r="L10" s="19">
        <f>-(G10+H10)+L9</f>
        <v>-7087.698</v>
      </c>
      <c r="M10" s="19"/>
    </row>
    <row r="11" ht="20.05" customHeight="1">
      <c r="B11" s="32"/>
      <c r="C11" s="18">
        <v>2302</v>
      </c>
      <c r="D11" s="19">
        <v>309.971</v>
      </c>
      <c r="E11" s="19">
        <v>-182.573</v>
      </c>
      <c r="F11" s="19"/>
      <c r="G11" s="19">
        <v>-227.162</v>
      </c>
      <c r="H11" s="19"/>
      <c r="I11" s="19">
        <f>D11+E11</f>
        <v>127.398</v>
      </c>
      <c r="J11" s="19">
        <f>AVERAGE(I8:I11)</f>
        <v>-91.6635</v>
      </c>
      <c r="K11" s="19"/>
      <c r="L11" s="19">
        <f>-(G11+H11)+L10</f>
        <v>-6860.536</v>
      </c>
      <c r="M11" s="19"/>
    </row>
    <row r="12" ht="20.05" customHeight="1">
      <c r="B12" s="33">
        <v>2017</v>
      </c>
      <c r="C12" s="18">
        <v>2011</v>
      </c>
      <c r="D12" s="19">
        <v>157.546</v>
      </c>
      <c r="E12" s="19">
        <v>-573.715</v>
      </c>
      <c r="F12" s="19"/>
      <c r="G12" s="19">
        <v>-45.176</v>
      </c>
      <c r="H12" s="19"/>
      <c r="I12" s="19">
        <f>D12+E12</f>
        <v>-416.169</v>
      </c>
      <c r="J12" s="19">
        <f>AVERAGE(I9:I12)</f>
        <v>-154.72975</v>
      </c>
      <c r="K12" s="19"/>
      <c r="L12" s="19">
        <f>-(G12+H12)+L11</f>
        <v>-6815.36</v>
      </c>
      <c r="M12" s="19"/>
    </row>
    <row r="13" ht="20.05" customHeight="1">
      <c r="B13" s="32"/>
      <c r="C13" s="18">
        <v>1450</v>
      </c>
      <c r="D13" s="19">
        <v>-642.807</v>
      </c>
      <c r="E13" s="19">
        <v>67.20399999999999</v>
      </c>
      <c r="F13" s="19"/>
      <c r="G13" s="19">
        <v>-193.219</v>
      </c>
      <c r="H13" s="19"/>
      <c r="I13" s="19">
        <f>D13+E13</f>
        <v>-575.603</v>
      </c>
      <c r="J13" s="19">
        <f>AVERAGE(I10:I13)</f>
        <v>-207.39775</v>
      </c>
      <c r="K13" s="19"/>
      <c r="L13" s="19">
        <f>-(G13+H13)+L12</f>
        <v>-6622.141</v>
      </c>
      <c r="M13" s="19"/>
    </row>
    <row r="14" ht="20.05" customHeight="1">
      <c r="B14" s="32"/>
      <c r="C14" s="18">
        <v>3737</v>
      </c>
      <c r="D14" s="19">
        <v>965.889</v>
      </c>
      <c r="E14" s="19">
        <v>-962.699</v>
      </c>
      <c r="F14" s="19"/>
      <c r="G14" s="19">
        <v>615.971</v>
      </c>
      <c r="H14" s="19"/>
      <c r="I14" s="19">
        <f>D14+E14</f>
        <v>3.19</v>
      </c>
      <c r="J14" s="19">
        <f>AVERAGE(I11:I14)</f>
        <v>-215.296</v>
      </c>
      <c r="K14" s="19"/>
      <c r="L14" s="19">
        <f>-(G14+H14)+L13</f>
        <v>-7238.112</v>
      </c>
      <c r="M14" s="19"/>
    </row>
    <row r="15" ht="20.05" customHeight="1">
      <c r="B15" s="32"/>
      <c r="C15" s="18">
        <v>5041</v>
      </c>
      <c r="D15" s="19">
        <v>898.548</v>
      </c>
      <c r="E15" s="19">
        <v>-1421.351</v>
      </c>
      <c r="F15" s="19"/>
      <c r="G15" s="19">
        <v>-945.934</v>
      </c>
      <c r="H15" s="19"/>
      <c r="I15" s="19">
        <f>D15+E15</f>
        <v>-522.803</v>
      </c>
      <c r="J15" s="19">
        <f>AVERAGE(I12:I15)</f>
        <v>-377.84625</v>
      </c>
      <c r="K15" s="19"/>
      <c r="L15" s="19">
        <f>-(G15+H15)+L14</f>
        <v>-6292.178</v>
      </c>
      <c r="M15" s="19"/>
    </row>
    <row r="16" ht="20.05" customHeight="1">
      <c r="B16" s="33">
        <v>2018</v>
      </c>
      <c r="C16" s="18">
        <v>5988</v>
      </c>
      <c r="D16" s="19">
        <v>50.974</v>
      </c>
      <c r="E16" s="19">
        <v>-355.726</v>
      </c>
      <c r="F16" s="19"/>
      <c r="G16" s="19">
        <v>816.59</v>
      </c>
      <c r="H16" s="19">
        <v>-11.95</v>
      </c>
      <c r="I16" s="19">
        <f>D16+E16</f>
        <v>-304.752</v>
      </c>
      <c r="J16" s="19">
        <f>AVERAGE(I13:I16)</f>
        <v>-349.992</v>
      </c>
      <c r="K16" s="19"/>
      <c r="L16" s="19">
        <f>-(G16+H16)+L15</f>
        <v>-7096.818</v>
      </c>
      <c r="M16" s="19"/>
    </row>
    <row r="17" ht="20.05" customHeight="1">
      <c r="B17" s="32"/>
      <c r="C17" s="18">
        <v>5548</v>
      </c>
      <c r="D17" s="19">
        <v>-95.911</v>
      </c>
      <c r="E17" s="19">
        <v>-570.823</v>
      </c>
      <c r="F17" s="19"/>
      <c r="G17" s="19">
        <v>-382.674</v>
      </c>
      <c r="H17" s="19">
        <v>-11.95</v>
      </c>
      <c r="I17" s="19">
        <f>D17+E17</f>
        <v>-666.734</v>
      </c>
      <c r="J17" s="19">
        <f>AVERAGE(I14:I17)</f>
        <v>-372.77475</v>
      </c>
      <c r="K17" s="19"/>
      <c r="L17" s="19">
        <f>-(G17+H17)+L16</f>
        <v>-6702.194</v>
      </c>
      <c r="M17" s="19"/>
    </row>
    <row r="18" ht="20.05" customHeight="1">
      <c r="B18" s="32"/>
      <c r="C18" s="18">
        <v>8239</v>
      </c>
      <c r="D18" s="19">
        <v>1237.63</v>
      </c>
      <c r="E18" s="19">
        <v>-420.428</v>
      </c>
      <c r="F18" s="19"/>
      <c r="G18" s="19">
        <v>-106.703</v>
      </c>
      <c r="H18" s="19">
        <v>-11.95</v>
      </c>
      <c r="I18" s="19">
        <f>D18+E18</f>
        <v>817.202</v>
      </c>
      <c r="J18" s="19">
        <f>AVERAGE(I15:I18)</f>
        <v>-169.27175</v>
      </c>
      <c r="K18" s="19"/>
      <c r="L18" s="19">
        <f>-(G18+H18)+L17</f>
        <v>-6583.541</v>
      </c>
      <c r="M18" s="19"/>
    </row>
    <row r="19" ht="20.05" customHeight="1">
      <c r="B19" s="32"/>
      <c r="C19" s="18">
        <v>5772</v>
      </c>
      <c r="D19" s="19">
        <v>682.307</v>
      </c>
      <c r="E19" s="19">
        <v>-1247.023</v>
      </c>
      <c r="F19" s="19"/>
      <c r="G19" s="19">
        <v>-946.213</v>
      </c>
      <c r="H19" s="19">
        <v>-11.95</v>
      </c>
      <c r="I19" s="19">
        <f>D19+E19</f>
        <v>-564.716</v>
      </c>
      <c r="J19" s="19">
        <f>AVERAGE(I16:I19)</f>
        <v>-179.75</v>
      </c>
      <c r="K19" s="19"/>
      <c r="L19" s="19">
        <f>-(G19+H19)+L18</f>
        <v>-5625.378</v>
      </c>
      <c r="M19" s="19"/>
    </row>
    <row r="20" ht="20.05" customHeight="1">
      <c r="B20" s="33">
        <v>2019</v>
      </c>
      <c r="C20" s="18">
        <v>5643</v>
      </c>
      <c r="D20" s="19">
        <v>-933</v>
      </c>
      <c r="E20" s="19">
        <v>-428</v>
      </c>
      <c r="F20" s="19"/>
      <c r="G20" s="19">
        <v>579</v>
      </c>
      <c r="H20" s="19">
        <v>-76.5</v>
      </c>
      <c r="I20" s="19">
        <f>D20+E20</f>
        <v>-1361</v>
      </c>
      <c r="J20" s="19">
        <f>AVERAGE(I17:I20)</f>
        <v>-443.812</v>
      </c>
      <c r="K20" s="19"/>
      <c r="L20" s="19">
        <f>-(G20+H20)+L19</f>
        <v>-6127.878</v>
      </c>
      <c r="M20" s="19"/>
    </row>
    <row r="21" ht="20.05" customHeight="1">
      <c r="B21" s="32"/>
      <c r="C21" s="18">
        <v>8368</v>
      </c>
      <c r="D21" s="19">
        <v>51</v>
      </c>
      <c r="E21" s="19">
        <v>-89</v>
      </c>
      <c r="F21" s="19"/>
      <c r="G21" s="19">
        <v>46</v>
      </c>
      <c r="H21" s="19">
        <v>-76.5</v>
      </c>
      <c r="I21" s="19">
        <f>D21+E21</f>
        <v>-38</v>
      </c>
      <c r="J21" s="19">
        <f>AVERAGE(I18:I21)</f>
        <v>-286.6285</v>
      </c>
      <c r="K21" s="19"/>
      <c r="L21" s="19">
        <f>-(G21+H21)+L20</f>
        <v>-6097.378</v>
      </c>
      <c r="M21" s="19"/>
    </row>
    <row r="22" ht="20.05" customHeight="1">
      <c r="B22" s="32"/>
      <c r="C22" s="18">
        <v>10296</v>
      </c>
      <c r="D22" s="19">
        <v>630</v>
      </c>
      <c r="E22" s="19">
        <v>139</v>
      </c>
      <c r="F22" s="19"/>
      <c r="G22" s="19">
        <v>-828</v>
      </c>
      <c r="H22" s="19">
        <v>-76.5</v>
      </c>
      <c r="I22" s="19">
        <f>D22+E22</f>
        <v>769</v>
      </c>
      <c r="J22" s="19">
        <f>AVERAGE(I19:I22)</f>
        <v>-298.679</v>
      </c>
      <c r="K22" s="19"/>
      <c r="L22" s="19">
        <f>-(G22+H22)+L21</f>
        <v>-5192.878</v>
      </c>
      <c r="M22" s="19"/>
    </row>
    <row r="23" ht="20.05" customHeight="1">
      <c r="B23" s="32"/>
      <c r="C23" s="18">
        <v>8195</v>
      </c>
      <c r="D23" s="19">
        <v>1885.8</v>
      </c>
      <c r="E23" s="19">
        <v>-507.3</v>
      </c>
      <c r="F23" s="19"/>
      <c r="G23" s="19">
        <v>-1160</v>
      </c>
      <c r="H23" s="19">
        <v>-76.5</v>
      </c>
      <c r="I23" s="19">
        <f>D23+E23</f>
        <v>1378.5</v>
      </c>
      <c r="J23" s="19">
        <f>AVERAGE(I20:I23)</f>
        <v>187.125</v>
      </c>
      <c r="K23" s="19"/>
      <c r="L23" s="19">
        <f>-(G23+H23)+L22</f>
        <v>-3956.378</v>
      </c>
      <c r="M23" s="19"/>
    </row>
    <row r="24" ht="20.05" customHeight="1">
      <c r="B24" s="33">
        <v>2020</v>
      </c>
      <c r="C24" s="18">
        <v>5633</v>
      </c>
      <c r="D24" s="19">
        <v>18.9</v>
      </c>
      <c r="E24" s="19">
        <v>-126.37</v>
      </c>
      <c r="F24" s="19">
        <v>-5.3</v>
      </c>
      <c r="G24" s="19">
        <v>-438.65</v>
      </c>
      <c r="H24" s="19">
        <v>-16.95</v>
      </c>
      <c r="I24" s="19">
        <f>D24+E24</f>
        <v>-107.47</v>
      </c>
      <c r="J24" s="19">
        <f>AVERAGE(I21:I24)</f>
        <v>500.5075</v>
      </c>
      <c r="K24" s="19"/>
      <c r="L24" s="19">
        <f>-(G24+H24)+L23</f>
        <v>-3500.778</v>
      </c>
      <c r="M24" s="19"/>
    </row>
    <row r="25" ht="20.05" customHeight="1">
      <c r="B25" s="32"/>
      <c r="C25" s="18">
        <v>4063</v>
      </c>
      <c r="D25" s="19">
        <v>107.1</v>
      </c>
      <c r="E25" s="19">
        <v>-33.63</v>
      </c>
      <c r="F25" s="19">
        <f>-34.1-F24</f>
        <v>-28.8</v>
      </c>
      <c r="G25" s="19">
        <v>-105.35</v>
      </c>
      <c r="H25" s="19">
        <v>-16.95</v>
      </c>
      <c r="I25" s="19">
        <f>D25+E25</f>
        <v>73.47</v>
      </c>
      <c r="J25" s="19">
        <f>AVERAGE(I22:I25)</f>
        <v>528.375</v>
      </c>
      <c r="K25" s="19"/>
      <c r="L25" s="19">
        <f>-(G25+H25)+L24</f>
        <v>-3378.478</v>
      </c>
      <c r="M25" s="19"/>
    </row>
    <row r="26" ht="20.05" customHeight="1">
      <c r="B26" s="32"/>
      <c r="C26" s="18">
        <f>18382-SUM(C24:C25)</f>
        <v>8686</v>
      </c>
      <c r="D26" s="19">
        <f>1117-SUM(D24:D25)</f>
        <v>991</v>
      </c>
      <c r="E26" s="19">
        <f>-375-SUM(E24:E25)</f>
        <v>-215</v>
      </c>
      <c r="F26" s="19">
        <f>-23-SUM(F24:F25)</f>
        <v>11.1</v>
      </c>
      <c r="G26" s="19">
        <f>-685-SUM(G24:G25)</f>
        <v>-141</v>
      </c>
      <c r="H26" s="19">
        <v>-16.95</v>
      </c>
      <c r="I26" s="19">
        <f>D26+E26</f>
        <v>776</v>
      </c>
      <c r="J26" s="19">
        <f>AVERAGE(I23:I26)</f>
        <v>530.125</v>
      </c>
      <c r="K26" s="19"/>
      <c r="L26" s="19">
        <f>-(G26+H26)+L25</f>
        <v>-3220.528</v>
      </c>
      <c r="M26" s="19"/>
    </row>
    <row r="27" ht="20.05" customHeight="1">
      <c r="B27" s="32"/>
      <c r="C27" s="18">
        <v>9035</v>
      </c>
      <c r="D27" s="19">
        <v>1102</v>
      </c>
      <c r="E27" s="19">
        <v>-192</v>
      </c>
      <c r="F27" s="19">
        <f>-63.5-SUM(F24:F26)</f>
        <v>-40.5</v>
      </c>
      <c r="G27" s="19">
        <v>-533</v>
      </c>
      <c r="H27" s="19">
        <v>-16.95</v>
      </c>
      <c r="I27" s="19">
        <f>D27+E27</f>
        <v>910</v>
      </c>
      <c r="J27" s="19">
        <f>AVERAGE(I24:I27)</f>
        <v>413</v>
      </c>
      <c r="K27" s="19"/>
      <c r="L27" s="19">
        <f>-(G27+H27)+L26</f>
        <v>-2670.578</v>
      </c>
      <c r="M27" s="19"/>
    </row>
    <row r="28" ht="20.05" customHeight="1">
      <c r="B28" s="33">
        <v>2021</v>
      </c>
      <c r="C28" s="18">
        <v>9384.6</v>
      </c>
      <c r="D28" s="19">
        <v>1880.2</v>
      </c>
      <c r="E28" s="19">
        <v>-104.2</v>
      </c>
      <c r="F28" s="19">
        <v>-18</v>
      </c>
      <c r="G28" s="19">
        <f>-511.5-F28</f>
        <v>-493.5</v>
      </c>
      <c r="H28" s="19">
        <v>0</v>
      </c>
      <c r="I28" s="19">
        <f>D28+E28+F28</f>
        <v>1758</v>
      </c>
      <c r="J28" s="19">
        <f>AVERAGE(I25:I28)</f>
        <v>879.3674999999999</v>
      </c>
      <c r="K28" s="19"/>
      <c r="L28" s="19">
        <f>-(G28+H28)+L27</f>
        <v>-2177.078</v>
      </c>
      <c r="M28" s="19"/>
    </row>
    <row r="29" ht="20.05" customHeight="1">
      <c r="B29" s="32"/>
      <c r="C29" s="18">
        <f>17364-C28</f>
        <v>7979.4</v>
      </c>
      <c r="D29" s="19">
        <f>2404-D28</f>
        <v>523.8</v>
      </c>
      <c r="E29" s="19">
        <f>-288.6-E28</f>
        <v>-184.4</v>
      </c>
      <c r="F29" s="19">
        <f>-14.6-F28</f>
        <v>3.4</v>
      </c>
      <c r="G29" s="19">
        <f>-1046-F29-F28-H29-G28</f>
        <v>-135.6</v>
      </c>
      <c r="H29" s="19">
        <v>-402.3</v>
      </c>
      <c r="I29" s="34">
        <f>D29+E29+F29</f>
        <v>342.8</v>
      </c>
      <c r="J29" s="19">
        <f>AVERAGE(I26:I29)</f>
        <v>946.7</v>
      </c>
      <c r="K29" s="19"/>
      <c r="L29" s="19">
        <f>-(G29+H29)+L28</f>
        <v>-1639.178</v>
      </c>
      <c r="M29" s="19"/>
    </row>
    <row r="30" ht="20.05" customHeight="1">
      <c r="B30" s="32"/>
      <c r="C30" s="18">
        <f>27097.2-SUM(C28:C29)</f>
        <v>9733.200000000001</v>
      </c>
      <c r="D30" s="19">
        <f>4451.3-SUM(D28:D29)</f>
        <v>2047.3</v>
      </c>
      <c r="E30" s="19">
        <f>-581.9-SUM(E28:E29)</f>
        <v>-293.3</v>
      </c>
      <c r="F30" s="19">
        <f>-22.6-SUM(F28:F29)</f>
        <v>-8</v>
      </c>
      <c r="G30" s="19">
        <f>-1507.9-H30-H29-H28-G29-G28-F30-F29-F28</f>
        <v>-453.9</v>
      </c>
      <c r="H30" s="22">
        <f>-402.3-SUM(H28:H29)</f>
        <v>0</v>
      </c>
      <c r="I30" s="19">
        <f>D30+E30+F30</f>
        <v>1746</v>
      </c>
      <c r="J30" s="19">
        <f>AVERAGE(I27:I30)</f>
        <v>1189.2</v>
      </c>
      <c r="K30" s="19"/>
      <c r="L30" s="19">
        <f>-(G30+H30)+L29</f>
        <v>-1185.278</v>
      </c>
      <c r="M30" s="19"/>
    </row>
    <row r="31" ht="20.05" customHeight="1">
      <c r="B31" s="32"/>
      <c r="C31" s="18">
        <f>38780.3-SUM(C28:C30)</f>
        <v>11683.1</v>
      </c>
      <c r="D31" s="19">
        <f>5042.7-SUM(D28:D30)</f>
        <v>591.4</v>
      </c>
      <c r="E31" s="19">
        <f>-1729.8-SUM(E28:E30)</f>
        <v>-1147.9</v>
      </c>
      <c r="F31" s="19">
        <f>-96.5-SUM(F28:F29)</f>
        <v>-81.90000000000001</v>
      </c>
      <c r="G31" s="19">
        <f>1205.2-1197.8+1600-1230.1-2100-SUM(G28:G30)</f>
        <v>-639.7</v>
      </c>
      <c r="H31" s="22">
        <f>-402.3-SUM(H28:H30)</f>
        <v>0</v>
      </c>
      <c r="I31" s="19">
        <f>D31+E31+F31</f>
        <v>-638.4</v>
      </c>
      <c r="J31" s="19">
        <f>AVERAGE(I28:I31)</f>
        <v>802.1</v>
      </c>
      <c r="K31" s="19">
        <f>J31</f>
        <v>802.1</v>
      </c>
      <c r="L31" s="19">
        <f>-(G31+H31)+L30</f>
        <v>-545.578</v>
      </c>
      <c r="M31" s="19">
        <f>L31</f>
        <v>-545.578</v>
      </c>
    </row>
    <row r="32" ht="20.05" customHeight="1">
      <c r="B32" s="33">
        <v>2022</v>
      </c>
      <c r="C32" s="18"/>
      <c r="D32" s="19"/>
      <c r="E32" s="23"/>
      <c r="F32" s="19"/>
      <c r="G32" s="19"/>
      <c r="H32" s="22"/>
      <c r="I32" s="22"/>
      <c r="J32" s="23"/>
      <c r="K32" s="19">
        <f>SUM('Model'!F9:F10)</f>
        <v>855.1435727264</v>
      </c>
      <c r="L32" s="23"/>
      <c r="M32" s="19">
        <f>'Model'!F32</f>
        <v>2655.457729453</v>
      </c>
    </row>
  </sheetData>
  <mergeCells count="1">
    <mergeCell ref="B2:M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31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09375" style="36" customWidth="1"/>
    <col min="2" max="2" width="6.97656" style="36" customWidth="1"/>
    <col min="3" max="11" width="10.1953" style="36" customWidth="1"/>
    <col min="12" max="16384" width="16.3516" style="36" customWidth="1"/>
  </cols>
  <sheetData>
    <row r="1" ht="27.65" customHeight="1">
      <c r="B1" t="s" s="2">
        <v>21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6">
        <v>1</v>
      </c>
      <c r="C2" t="s" s="6">
        <v>52</v>
      </c>
      <c r="D2" t="s" s="6">
        <v>53</v>
      </c>
      <c r="E2" t="s" s="6">
        <v>22</v>
      </c>
      <c r="F2" t="s" s="6">
        <v>23</v>
      </c>
      <c r="G2" t="s" s="6">
        <v>11</v>
      </c>
      <c r="H2" t="s" s="6">
        <v>25</v>
      </c>
      <c r="I2" t="s" s="6">
        <v>54</v>
      </c>
      <c r="J2" t="s" s="6">
        <v>27</v>
      </c>
      <c r="K2" t="s" s="6">
        <v>34</v>
      </c>
    </row>
    <row r="3" ht="20.25" customHeight="1">
      <c r="B3" s="27">
        <v>2015</v>
      </c>
      <c r="C3" s="28">
        <v>2926.307</v>
      </c>
      <c r="D3" s="30">
        <v>22842.722</v>
      </c>
      <c r="E3" s="30">
        <f>D3-C3</f>
        <v>19916.415</v>
      </c>
      <c r="F3" s="30">
        <v>5820</v>
      </c>
      <c r="G3" s="30">
        <v>11153</v>
      </c>
      <c r="H3" s="30">
        <v>11690</v>
      </c>
      <c r="I3" s="30">
        <f>G3+H3-C3-E3</f>
        <v>0.278</v>
      </c>
      <c r="J3" s="30">
        <f>C3-G3</f>
        <v>-8226.692999999999</v>
      </c>
      <c r="K3" s="30"/>
    </row>
    <row r="4" ht="20.05" customHeight="1">
      <c r="B4" s="32"/>
      <c r="C4" s="18">
        <v>2034.694</v>
      </c>
      <c r="D4" s="19">
        <v>22550.591</v>
      </c>
      <c r="E4" s="19">
        <f>D4-C4</f>
        <v>20515.897</v>
      </c>
      <c r="F4" s="19">
        <v>5960</v>
      </c>
      <c r="G4" s="19">
        <v>10975</v>
      </c>
      <c r="H4" s="19">
        <v>11575</v>
      </c>
      <c r="I4" s="19">
        <f>G4+H4-C4-E4</f>
        <v>-0.591</v>
      </c>
      <c r="J4" s="19">
        <f>C4-G4</f>
        <v>-8940.306</v>
      </c>
      <c r="K4" s="19"/>
    </row>
    <row r="5" ht="20.05" customHeight="1">
      <c r="B5" s="32"/>
      <c r="C5" s="18">
        <v>2865.438</v>
      </c>
      <c r="D5" s="19">
        <v>24785.505</v>
      </c>
      <c r="E5" s="19">
        <f>D5-C5</f>
        <v>21920.067</v>
      </c>
      <c r="F5" s="19">
        <v>6135</v>
      </c>
      <c r="G5" s="19">
        <v>11296</v>
      </c>
      <c r="H5" s="19">
        <v>13490</v>
      </c>
      <c r="I5" s="19">
        <f>G5+H5-C5-E5</f>
        <v>0.495</v>
      </c>
      <c r="J5" s="19">
        <f>C5-G5</f>
        <v>-8430.562</v>
      </c>
      <c r="K5" s="19"/>
    </row>
    <row r="6" ht="20.05" customHeight="1">
      <c r="B6" s="32"/>
      <c r="C6" s="18">
        <v>8086.634</v>
      </c>
      <c r="D6" s="19">
        <v>30356.851</v>
      </c>
      <c r="E6" s="19">
        <f>D6-C6</f>
        <v>22270.217</v>
      </c>
      <c r="F6" s="19">
        <v>6293</v>
      </c>
      <c r="G6" s="19">
        <v>12040</v>
      </c>
      <c r="H6" s="19">
        <v>18317</v>
      </c>
      <c r="I6" s="19">
        <f>G6+H6-C6-E6</f>
        <v>0.149</v>
      </c>
      <c r="J6" s="19">
        <f>C6-G6</f>
        <v>-3953.366</v>
      </c>
      <c r="K6" s="19"/>
    </row>
    <row r="7" ht="20.05" customHeight="1">
      <c r="B7" s="33">
        <v>2016</v>
      </c>
      <c r="C7" s="18">
        <v>7821.189</v>
      </c>
      <c r="D7" s="19">
        <v>29849.031</v>
      </c>
      <c r="E7" s="19">
        <f>D7-C7</f>
        <v>22027.842</v>
      </c>
      <c r="F7" s="19">
        <v>6465</v>
      </c>
      <c r="G7" s="19">
        <v>11523</v>
      </c>
      <c r="H7" s="19">
        <v>18326</v>
      </c>
      <c r="I7" s="19">
        <f>G7+H7-C7-E7</f>
        <v>-0.031</v>
      </c>
      <c r="J7" s="19">
        <f>C7-G7</f>
        <v>-3701.811</v>
      </c>
      <c r="K7" s="19"/>
    </row>
    <row r="8" ht="20.05" customHeight="1">
      <c r="B8" s="32"/>
      <c r="C8" s="18">
        <v>7718.607</v>
      </c>
      <c r="D8" s="19">
        <v>29689.978</v>
      </c>
      <c r="E8" s="19">
        <f>D8-C8</f>
        <v>21971.371</v>
      </c>
      <c r="F8" s="19">
        <v>6604</v>
      </c>
      <c r="G8" s="19">
        <v>11375</v>
      </c>
      <c r="H8" s="19">
        <v>18315</v>
      </c>
      <c r="I8" s="19">
        <f>G8+H8-C8-E8</f>
        <v>0.022</v>
      </c>
      <c r="J8" s="19">
        <f>C8-G8</f>
        <v>-3656.393</v>
      </c>
      <c r="K8" s="19"/>
    </row>
    <row r="9" ht="20.05" customHeight="1">
      <c r="B9" s="32"/>
      <c r="C9" s="18">
        <v>7685.116</v>
      </c>
      <c r="D9" s="19">
        <v>29665.445</v>
      </c>
      <c r="E9" s="19">
        <f>D9-C9</f>
        <v>21980.329</v>
      </c>
      <c r="F9" s="19">
        <v>6748</v>
      </c>
      <c r="G9" s="19">
        <v>11328</v>
      </c>
      <c r="H9" s="19">
        <v>18337</v>
      </c>
      <c r="I9" s="19">
        <f>G9+H9-C9-E9</f>
        <v>-0.445</v>
      </c>
      <c r="J9" s="19">
        <f>C9-G9</f>
        <v>-3642.884</v>
      </c>
      <c r="K9" s="19"/>
    </row>
    <row r="10" ht="20.05" customHeight="1">
      <c r="B10" s="32"/>
      <c r="C10" s="18">
        <v>7623.385</v>
      </c>
      <c r="D10" s="19">
        <v>29981.535</v>
      </c>
      <c r="E10" s="19">
        <f>D10-C10</f>
        <v>22358.15</v>
      </c>
      <c r="F10" s="19">
        <v>6900</v>
      </c>
      <c r="G10" s="19">
        <v>11572</v>
      </c>
      <c r="H10" s="19">
        <v>18409</v>
      </c>
      <c r="I10" s="19">
        <f>G10+H10-C10-E10</f>
        <v>-0.535</v>
      </c>
      <c r="J10" s="19">
        <f>C10-G10</f>
        <v>-3948.615</v>
      </c>
      <c r="K10" s="19"/>
    </row>
    <row r="11" ht="20.05" customHeight="1">
      <c r="B11" s="33">
        <v>2017</v>
      </c>
      <c r="C11" s="18">
        <v>7152.245</v>
      </c>
      <c r="D11" s="19">
        <v>30299.218</v>
      </c>
      <c r="E11" s="19">
        <f>D11-C11</f>
        <v>23146.973</v>
      </c>
      <c r="F11" s="19">
        <v>7065</v>
      </c>
      <c r="G11" s="19">
        <v>11889</v>
      </c>
      <c r="H11" s="19">
        <v>18410</v>
      </c>
      <c r="I11" s="19">
        <f>G11+H11-C11-E11</f>
        <v>-0.218</v>
      </c>
      <c r="J11" s="19">
        <f>C11-G11</f>
        <v>-4736.755</v>
      </c>
      <c r="K11" s="19"/>
    </row>
    <row r="12" ht="20.05" customHeight="1">
      <c r="B12" s="32"/>
      <c r="C12" s="18">
        <v>6381.741</v>
      </c>
      <c r="D12" s="19">
        <v>30247.148</v>
      </c>
      <c r="E12" s="19">
        <f>D12-C12</f>
        <v>23865.407</v>
      </c>
      <c r="F12" s="19">
        <v>7252</v>
      </c>
      <c r="G12" s="19">
        <v>12373</v>
      </c>
      <c r="H12" s="19">
        <v>17874</v>
      </c>
      <c r="I12" s="19">
        <f>G12+H12-C12-E12</f>
        <v>-0.148</v>
      </c>
      <c r="J12" s="19">
        <f>C12-G12</f>
        <v>-5991.259</v>
      </c>
      <c r="K12" s="19"/>
    </row>
    <row r="13" ht="20.05" customHeight="1">
      <c r="B13" s="32"/>
      <c r="C13" s="18">
        <v>7017.373</v>
      </c>
      <c r="D13" s="19">
        <v>30672.008</v>
      </c>
      <c r="E13" s="19">
        <f>D13-C13</f>
        <v>23654.635</v>
      </c>
      <c r="F13" s="19">
        <v>7485</v>
      </c>
      <c r="G13" s="19">
        <v>12641</v>
      </c>
      <c r="H13" s="19">
        <v>18031</v>
      </c>
      <c r="I13" s="19">
        <f>G13+H13-C13-E13</f>
        <v>-0.008</v>
      </c>
      <c r="J13" s="19">
        <f>C13-G13</f>
        <v>-5623.627</v>
      </c>
      <c r="K13" s="19"/>
    </row>
    <row r="14" ht="20.05" customHeight="1">
      <c r="B14" s="32"/>
      <c r="C14" s="18">
        <v>5550.677</v>
      </c>
      <c r="D14" s="19">
        <v>28798.636</v>
      </c>
      <c r="E14" s="19">
        <f>D14-C14</f>
        <v>23247.959</v>
      </c>
      <c r="F14" s="19">
        <v>7691</v>
      </c>
      <c r="G14" s="19">
        <v>11635.517</v>
      </c>
      <c r="H14" s="19">
        <v>17163.119</v>
      </c>
      <c r="I14" s="19">
        <f>G14+H14-C14-E14</f>
        <v>0</v>
      </c>
      <c r="J14" s="19">
        <f>C14-G14</f>
        <v>-6084.84</v>
      </c>
      <c r="K14" s="19"/>
    </row>
    <row r="15" ht="20.05" customHeight="1">
      <c r="B15" s="33">
        <v>2018</v>
      </c>
      <c r="C15" s="18">
        <v>6075.429</v>
      </c>
      <c r="D15" s="19">
        <v>31224.071</v>
      </c>
      <c r="E15" s="19">
        <f>D15-C15</f>
        <v>25148.642</v>
      </c>
      <c r="F15" s="19">
        <v>7881</v>
      </c>
      <c r="G15" s="19">
        <v>12496</v>
      </c>
      <c r="H15" s="19">
        <v>18728</v>
      </c>
      <c r="I15" s="19">
        <f>G15+H15-C15-E15</f>
        <v>-0.07099999999999999</v>
      </c>
      <c r="J15" s="19">
        <f>C15-G15</f>
        <v>-6420.571</v>
      </c>
      <c r="K15" s="19"/>
    </row>
    <row r="16" ht="20.05" customHeight="1">
      <c r="B16" s="32"/>
      <c r="C16" s="18">
        <v>5080.041</v>
      </c>
      <c r="D16" s="19">
        <v>31337.233</v>
      </c>
      <c r="E16" s="19">
        <f>D16-C16</f>
        <v>26257.192</v>
      </c>
      <c r="F16" s="19">
        <v>8097</v>
      </c>
      <c r="G16" s="19">
        <v>12487</v>
      </c>
      <c r="H16" s="19">
        <v>18850</v>
      </c>
      <c r="I16" s="19">
        <f>G16+H16-C16-E16</f>
        <v>-0.233</v>
      </c>
      <c r="J16" s="19">
        <f>C16-G16</f>
        <v>-7406.959</v>
      </c>
      <c r="K16" s="19"/>
    </row>
    <row r="17" ht="20.05" customHeight="1">
      <c r="B17" s="32"/>
      <c r="C17" s="18">
        <v>5806.46</v>
      </c>
      <c r="D17" s="19">
        <v>32846.365</v>
      </c>
      <c r="E17" s="19">
        <f>D17-C17</f>
        <v>27039.905</v>
      </c>
      <c r="F17" s="19">
        <v>8329</v>
      </c>
      <c r="G17" s="19">
        <v>13703</v>
      </c>
      <c r="H17" s="19">
        <v>19143</v>
      </c>
      <c r="I17" s="19">
        <f>G17+H17-C17-E17</f>
        <v>-0.365</v>
      </c>
      <c r="J17" s="19">
        <f>C17-G17</f>
        <v>-7896.54</v>
      </c>
      <c r="K17" s="19"/>
    </row>
    <row r="18" ht="20.05" customHeight="1">
      <c r="B18" s="32"/>
      <c r="C18" s="18">
        <v>4299</v>
      </c>
      <c r="D18" s="19">
        <v>32195</v>
      </c>
      <c r="E18" s="19">
        <f>D18-C18</f>
        <v>27896</v>
      </c>
      <c r="F18" s="19">
        <v>8480</v>
      </c>
      <c r="G18" s="19">
        <v>13747</v>
      </c>
      <c r="H18" s="19">
        <v>18448</v>
      </c>
      <c r="I18" s="19">
        <f>G18+H18-C18-E18</f>
        <v>0</v>
      </c>
      <c r="J18" s="19">
        <f>C18-G18</f>
        <v>-9448</v>
      </c>
      <c r="K18" s="19"/>
    </row>
    <row r="19" ht="20.05" customHeight="1">
      <c r="B19" s="33">
        <v>2019</v>
      </c>
      <c r="C19" s="18">
        <v>3495</v>
      </c>
      <c r="D19" s="19">
        <v>33600</v>
      </c>
      <c r="E19" s="19">
        <f>D19-C19</f>
        <v>30105</v>
      </c>
      <c r="F19" s="19">
        <v>8870</v>
      </c>
      <c r="G19" s="19">
        <v>13690</v>
      </c>
      <c r="H19" s="19">
        <v>19910</v>
      </c>
      <c r="I19" s="19">
        <f>G19+H19-C19-E19</f>
        <v>0</v>
      </c>
      <c r="J19" s="19">
        <f>C19-G19</f>
        <v>-10195</v>
      </c>
      <c r="K19" s="19"/>
    </row>
    <row r="20" ht="20.05" customHeight="1">
      <c r="B20" s="32"/>
      <c r="C20" s="18">
        <v>3515</v>
      </c>
      <c r="D20" s="19">
        <v>33567</v>
      </c>
      <c r="E20" s="19">
        <f>D20-C20</f>
        <v>30052</v>
      </c>
      <c r="F20" s="19">
        <v>9137</v>
      </c>
      <c r="G20" s="19">
        <v>13796</v>
      </c>
      <c r="H20" s="19">
        <v>19771</v>
      </c>
      <c r="I20" s="19">
        <f>G20+H20-C20-E20</f>
        <v>0</v>
      </c>
      <c r="J20" s="19">
        <f>C20-G20</f>
        <v>-10281</v>
      </c>
      <c r="K20" s="19"/>
    </row>
    <row r="21" ht="20.05" customHeight="1">
      <c r="B21" s="32"/>
      <c r="C21" s="18">
        <v>3463</v>
      </c>
      <c r="D21" s="19">
        <v>32655</v>
      </c>
      <c r="E21" s="19">
        <f>D21-C21</f>
        <v>29192</v>
      </c>
      <c r="F21" s="19">
        <v>9391</v>
      </c>
      <c r="G21" s="19">
        <v>12707</v>
      </c>
      <c r="H21" s="19">
        <v>19948</v>
      </c>
      <c r="I21" s="19">
        <f>G21+H21-C21-E21</f>
        <v>0</v>
      </c>
      <c r="J21" s="19">
        <f>C21-G21</f>
        <v>-9244</v>
      </c>
      <c r="K21" s="19"/>
    </row>
    <row r="22" ht="20.05" customHeight="1">
      <c r="B22" s="32"/>
      <c r="C22" s="18">
        <v>3636.2</v>
      </c>
      <c r="D22" s="19">
        <v>30195</v>
      </c>
      <c r="E22" s="19">
        <f>D22-C22</f>
        <v>26558.8</v>
      </c>
      <c r="F22" s="19">
        <f>9517+647</f>
        <v>10164</v>
      </c>
      <c r="G22" s="19">
        <v>12061</v>
      </c>
      <c r="H22" s="19">
        <v>18133</v>
      </c>
      <c r="I22" s="19">
        <f>G22+H22-C22-E22</f>
        <v>-1</v>
      </c>
      <c r="J22" s="19">
        <f>C22-G22</f>
        <v>-8424.799999999999</v>
      </c>
      <c r="K22" s="19"/>
    </row>
    <row r="23" ht="20.05" customHeight="1">
      <c r="B23" s="33">
        <v>2020</v>
      </c>
      <c r="C23" s="18">
        <v>3161</v>
      </c>
      <c r="D23" s="19">
        <v>30771</v>
      </c>
      <c r="E23" s="19">
        <f>D23-C23</f>
        <v>27610</v>
      </c>
      <c r="F23" s="19">
        <f>9792+659</f>
        <v>10451</v>
      </c>
      <c r="G23" s="19">
        <v>12746</v>
      </c>
      <c r="H23" s="19">
        <v>18025</v>
      </c>
      <c r="I23" s="19">
        <f>G23+H23-C23-E23</f>
        <v>0</v>
      </c>
      <c r="J23" s="19">
        <f>C23-G23</f>
        <v>-9585</v>
      </c>
      <c r="K23" s="19"/>
    </row>
    <row r="24" ht="20.05" customHeight="1">
      <c r="B24" s="32"/>
      <c r="C24" s="18">
        <v>3006</v>
      </c>
      <c r="D24" s="19">
        <v>30033</v>
      </c>
      <c r="E24" s="19">
        <f>D24-C24</f>
        <v>27027</v>
      </c>
      <c r="F24" s="19">
        <f>664+9986</f>
        <v>10650</v>
      </c>
      <c r="G24" s="19">
        <v>11929</v>
      </c>
      <c r="H24" s="19">
        <v>18104</v>
      </c>
      <c r="I24" s="19">
        <f>G24+H24-C24-E24</f>
        <v>0</v>
      </c>
      <c r="J24" s="19">
        <f>C24-G24</f>
        <v>-8923</v>
      </c>
      <c r="K24" s="19"/>
    </row>
    <row r="25" ht="20.05" customHeight="1">
      <c r="B25" s="32"/>
      <c r="C25" s="18">
        <v>3669</v>
      </c>
      <c r="D25" s="19">
        <v>30974</v>
      </c>
      <c r="E25" s="19">
        <f>D25-C25</f>
        <v>27305</v>
      </c>
      <c r="F25" s="19">
        <f>10240+672</f>
        <v>10912</v>
      </c>
      <c r="G25" s="19">
        <v>12045</v>
      </c>
      <c r="H25" s="19">
        <v>18929</v>
      </c>
      <c r="I25" s="19">
        <f>G25+H25-C25-E25</f>
        <v>0</v>
      </c>
      <c r="J25" s="19">
        <f>C25-G25</f>
        <v>-8376</v>
      </c>
      <c r="K25" s="19"/>
    </row>
    <row r="26" ht="20.05" customHeight="1">
      <c r="B26" s="32"/>
      <c r="C26" s="18">
        <v>3984</v>
      </c>
      <c r="D26" s="19">
        <v>31730</v>
      </c>
      <c r="E26" s="19">
        <f>D26-C26</f>
        <v>27746</v>
      </c>
      <c r="F26" s="19">
        <f>F25+'Sales'!E27</f>
        <v>11265</v>
      </c>
      <c r="G26" s="19">
        <v>12690</v>
      </c>
      <c r="H26" s="19">
        <v>19039</v>
      </c>
      <c r="I26" s="19">
        <f>G26+H26-C26-E26</f>
        <v>-1</v>
      </c>
      <c r="J26" s="19">
        <f>C26-G26</f>
        <v>-8706</v>
      </c>
      <c r="K26" s="19"/>
    </row>
    <row r="27" ht="20.05" customHeight="1">
      <c r="B27" s="33">
        <v>2021</v>
      </c>
      <c r="C27" s="18">
        <v>5326</v>
      </c>
      <c r="D27" s="19">
        <v>32691</v>
      </c>
      <c r="E27" s="19">
        <f>D27-C27</f>
        <v>27365</v>
      </c>
      <c r="F27" s="19">
        <f>10786+1428+987</f>
        <v>13201</v>
      </c>
      <c r="G27" s="19">
        <v>12891</v>
      </c>
      <c r="H27" s="19">
        <v>19800</v>
      </c>
      <c r="I27" s="19">
        <f>G27+H27-C27-E27</f>
        <v>0</v>
      </c>
      <c r="J27" s="19">
        <f>C27-G27</f>
        <v>-7565</v>
      </c>
      <c r="K27" s="19"/>
    </row>
    <row r="28" ht="20.05" customHeight="1">
      <c r="B28" s="32"/>
      <c r="C28" s="18">
        <v>5122</v>
      </c>
      <c r="D28" s="19">
        <v>32290</v>
      </c>
      <c r="E28" s="19">
        <f>D28-C28</f>
        <v>27168</v>
      </c>
      <c r="F28" s="19">
        <f>F27+'Sales'!E29</f>
        <v>13422.6</v>
      </c>
      <c r="G28" s="19">
        <v>12455</v>
      </c>
      <c r="H28" s="19">
        <v>19835</v>
      </c>
      <c r="I28" s="19">
        <f>G28+H28-C28-E28</f>
        <v>0</v>
      </c>
      <c r="J28" s="19">
        <f>C28-G28</f>
        <v>-7333</v>
      </c>
      <c r="K28" s="19"/>
    </row>
    <row r="29" ht="20.05" customHeight="1">
      <c r="B29" s="32"/>
      <c r="C29" s="18">
        <v>6368</v>
      </c>
      <c r="D29" s="19">
        <v>33301</v>
      </c>
      <c r="E29" s="19">
        <f>D29-C29</f>
        <v>26933</v>
      </c>
      <c r="F29" s="19">
        <f>11199+1045</f>
        <v>12244</v>
      </c>
      <c r="G29" s="19">
        <v>12957</v>
      </c>
      <c r="H29" s="19">
        <v>20344</v>
      </c>
      <c r="I29" s="19">
        <f>G29+H29-C29-E29</f>
        <v>0</v>
      </c>
      <c r="J29" s="19">
        <f>C29-G29</f>
        <v>-6589</v>
      </c>
      <c r="K29" s="19"/>
    </row>
    <row r="30" ht="20.05" customHeight="1">
      <c r="B30" s="32"/>
      <c r="C30" s="18">
        <v>5089</v>
      </c>
      <c r="D30" s="19">
        <v>32916</v>
      </c>
      <c r="E30" s="19">
        <f>D30-C30</f>
        <v>27827</v>
      </c>
      <c r="F30" s="19">
        <f>1016+11407</f>
        <v>12423</v>
      </c>
      <c r="G30" s="19">
        <v>12079</v>
      </c>
      <c r="H30" s="19">
        <v>20837</v>
      </c>
      <c r="I30" s="19">
        <f>G30+H30-C30-E30</f>
        <v>0</v>
      </c>
      <c r="J30" s="19">
        <f>C30-G30</f>
        <v>-6990</v>
      </c>
      <c r="K30" s="19">
        <f>J30</f>
        <v>-6990</v>
      </c>
    </row>
    <row r="31" ht="20.05" customHeight="1">
      <c r="B31" s="33">
        <v>2022</v>
      </c>
      <c r="C31" s="18"/>
      <c r="D31" s="19"/>
      <c r="E31" s="19"/>
      <c r="F31" s="19"/>
      <c r="G31" s="19"/>
      <c r="H31" s="19"/>
      <c r="I31" s="19"/>
      <c r="J31" s="19"/>
      <c r="K31" s="19">
        <f>'Model'!F30</f>
        <v>-5380.8185623282</v>
      </c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67188" style="37" customWidth="1"/>
    <col min="2" max="2" width="6.5" style="37" customWidth="1"/>
    <col min="3" max="5" width="10.9922" style="37" customWidth="1"/>
    <col min="6" max="16384" width="16.3516" style="37" customWidth="1"/>
  </cols>
  <sheetData>
    <row r="1" ht="15" customHeight="1"/>
    <row r="2" ht="27.65" customHeight="1">
      <c r="B2" t="s" s="2">
        <v>55</v>
      </c>
      <c r="C2" s="2"/>
      <c r="D2" s="2"/>
      <c r="E2" s="2"/>
    </row>
    <row r="3" ht="20.25" customHeight="1">
      <c r="B3" s="4"/>
      <c r="C3" t="s" s="38">
        <v>56</v>
      </c>
      <c r="D3" t="s" s="38">
        <v>37</v>
      </c>
      <c r="E3" t="s" s="38">
        <v>57</v>
      </c>
    </row>
    <row r="4" ht="20.25" customHeight="1">
      <c r="B4" s="27">
        <v>2018</v>
      </c>
      <c r="C4" s="28">
        <v>775</v>
      </c>
      <c r="D4" s="30"/>
      <c r="E4" s="30"/>
    </row>
    <row r="5" ht="20.05" customHeight="1">
      <c r="B5" s="32"/>
      <c r="C5" s="18">
        <v>890</v>
      </c>
      <c r="D5" s="19"/>
      <c r="E5" s="19"/>
    </row>
    <row r="6" ht="20.05" customHeight="1">
      <c r="B6" s="32"/>
      <c r="C6" s="18">
        <v>845</v>
      </c>
      <c r="D6" s="19"/>
      <c r="E6" s="19"/>
    </row>
    <row r="7" ht="20.05" customHeight="1">
      <c r="B7" s="32"/>
      <c r="C7" s="18">
        <v>765</v>
      </c>
      <c r="D7" s="19"/>
      <c r="E7" s="19"/>
    </row>
    <row r="8" ht="20.05" customHeight="1">
      <c r="B8" s="33">
        <v>2019</v>
      </c>
      <c r="C8" s="18">
        <v>885</v>
      </c>
      <c r="D8" s="19"/>
      <c r="E8" s="19"/>
    </row>
    <row r="9" ht="20.05" customHeight="1">
      <c r="B9" s="32"/>
      <c r="C9" s="18">
        <v>845</v>
      </c>
      <c r="D9" s="19"/>
      <c r="E9" s="19"/>
    </row>
    <row r="10" ht="20.05" customHeight="1">
      <c r="B10" s="32"/>
      <c r="C10" s="18">
        <v>975</v>
      </c>
      <c r="D10" s="19"/>
      <c r="E10" s="19"/>
    </row>
    <row r="11" ht="20.05" customHeight="1">
      <c r="B11" s="32"/>
      <c r="C11" s="18">
        <v>840</v>
      </c>
      <c r="D11" s="19"/>
      <c r="E11" s="19"/>
    </row>
    <row r="12" ht="20.05" customHeight="1">
      <c r="B12" s="33">
        <v>2020</v>
      </c>
      <c r="C12" s="18">
        <v>450</v>
      </c>
      <c r="D12" s="19"/>
      <c r="E12" s="19"/>
    </row>
    <row r="13" ht="20.05" customHeight="1">
      <c r="B13" s="32"/>
      <c r="C13" s="18">
        <v>605</v>
      </c>
      <c r="D13" s="19"/>
      <c r="E13" s="19"/>
    </row>
    <row r="14" ht="20.05" customHeight="1">
      <c r="B14" s="32"/>
      <c r="C14" s="18">
        <v>705</v>
      </c>
      <c r="D14" s="19"/>
      <c r="E14" s="19"/>
    </row>
    <row r="15" ht="20.05" customHeight="1">
      <c r="B15" s="32"/>
      <c r="C15" s="18">
        <v>1935</v>
      </c>
      <c r="D15" s="19"/>
      <c r="E15" s="19"/>
    </row>
    <row r="16" ht="20.05" customHeight="1">
      <c r="B16" s="33">
        <v>2021</v>
      </c>
      <c r="C16" s="18">
        <v>2233.765137</v>
      </c>
      <c r="D16" s="19"/>
      <c r="E16" s="19"/>
    </row>
    <row r="17" ht="20.05" customHeight="1">
      <c r="B17" s="32"/>
      <c r="C17" s="18">
        <v>2300</v>
      </c>
      <c r="D17" s="19"/>
      <c r="E17" s="19"/>
    </row>
    <row r="18" ht="20.05" customHeight="1">
      <c r="B18" s="32"/>
      <c r="C18" s="18">
        <v>2290</v>
      </c>
      <c r="D18" s="19"/>
      <c r="E18" s="19"/>
    </row>
    <row r="19" ht="20.05" customHeight="1">
      <c r="B19" s="32"/>
      <c r="C19" s="18">
        <v>2250</v>
      </c>
      <c r="D19" s="19"/>
      <c r="E19" s="19">
        <v>2926.8413970473</v>
      </c>
    </row>
    <row r="20" ht="20.05" customHeight="1">
      <c r="B20" s="33">
        <v>2022</v>
      </c>
      <c r="C20" s="18">
        <v>2520</v>
      </c>
      <c r="D20" s="19">
        <f>C20</f>
        <v>2520</v>
      </c>
      <c r="E20" s="19">
        <v>3086.041975129380</v>
      </c>
    </row>
    <row r="21" ht="20.05" customHeight="1">
      <c r="B21" s="32"/>
      <c r="C21" s="18"/>
      <c r="D21" s="19">
        <f>'Model'!F43</f>
        <v>2930.521931149720</v>
      </c>
      <c r="E21" s="19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2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7" width="9.96875" style="39" customWidth="1"/>
    <col min="8" max="16384" width="16.3516" style="39" customWidth="1"/>
  </cols>
  <sheetData>
    <row r="1" ht="27.65" customHeight="1">
      <c r="A1" t="s" s="2">
        <v>58</v>
      </c>
      <c r="B1" s="2"/>
      <c r="C1" s="2"/>
      <c r="D1" s="2"/>
      <c r="E1" s="2"/>
      <c r="F1" s="2"/>
      <c r="G1" s="2"/>
    </row>
    <row r="2" ht="20.25" customHeight="1">
      <c r="A2" t="s" s="6">
        <v>1</v>
      </c>
      <c r="B2" t="s" s="6">
        <v>11</v>
      </c>
      <c r="C2" t="s" s="6">
        <v>25</v>
      </c>
      <c r="D2" t="s" s="6">
        <v>59</v>
      </c>
      <c r="E2" t="s" s="6">
        <v>11</v>
      </c>
      <c r="F2" t="s" s="6">
        <v>25</v>
      </c>
      <c r="G2" t="s" s="6">
        <v>59</v>
      </c>
    </row>
    <row r="3" ht="20.25" customHeight="1">
      <c r="A3" s="27">
        <v>1999</v>
      </c>
      <c r="B3" s="28">
        <f>-133.271-C3</f>
        <v>-5.432</v>
      </c>
      <c r="C3" s="30">
        <v>-127.839</v>
      </c>
      <c r="D3" s="30">
        <f>B3+C3</f>
        <v>-133.271</v>
      </c>
      <c r="E3" s="30">
        <f>B3</f>
        <v>-5.432</v>
      </c>
      <c r="F3" s="30">
        <f>C3</f>
        <v>-127.839</v>
      </c>
      <c r="G3" s="30">
        <f>D3</f>
        <v>-133.271</v>
      </c>
    </row>
    <row r="4" ht="20.05" customHeight="1">
      <c r="A4" s="33">
        <f>1+$A3</f>
        <v>2000</v>
      </c>
      <c r="B4" s="18">
        <f>-53.67-78.528</f>
        <v>-132.198</v>
      </c>
      <c r="C4" s="19">
        <v>-90.075</v>
      </c>
      <c r="D4" s="19">
        <f>B4+C4</f>
        <v>-222.273</v>
      </c>
      <c r="E4" s="19">
        <f>B4+E3</f>
        <v>-137.63</v>
      </c>
      <c r="F4" s="19">
        <f>C4+F3</f>
        <v>-217.914</v>
      </c>
      <c r="G4" s="19">
        <f>D4+G3</f>
        <v>-355.544</v>
      </c>
    </row>
    <row r="5" ht="20.05" customHeight="1">
      <c r="A5" s="33">
        <f>1+$A4</f>
        <v>2001</v>
      </c>
      <c r="B5" s="18">
        <f>-27.767-90.64</f>
        <v>-118.407</v>
      </c>
      <c r="C5" s="19">
        <v>-191.577</v>
      </c>
      <c r="D5" s="19">
        <f>B5+C5</f>
        <v>-309.984</v>
      </c>
      <c r="E5" s="19">
        <f>B5+E4</f>
        <v>-256.037</v>
      </c>
      <c r="F5" s="19">
        <f>C5+F4</f>
        <v>-409.491</v>
      </c>
      <c r="G5" s="19">
        <f>D5+G4</f>
        <v>-665.528</v>
      </c>
    </row>
    <row r="6" ht="20.05" customHeight="1">
      <c r="A6" s="33">
        <f>1+$A5</f>
        <v>2002</v>
      </c>
      <c r="B6" s="18">
        <f>-2.3-89.177</f>
        <v>-91.477</v>
      </c>
      <c r="C6" s="19">
        <v>-179.077</v>
      </c>
      <c r="D6" s="19">
        <f>B6+C6</f>
        <v>-270.554</v>
      </c>
      <c r="E6" s="19">
        <f>B6+E5</f>
        <v>-347.514</v>
      </c>
      <c r="F6" s="19">
        <f>C6+F5</f>
        <v>-588.568</v>
      </c>
      <c r="G6" s="19">
        <f>D6+G5</f>
        <v>-936.082</v>
      </c>
    </row>
    <row r="7" ht="20.05" customHeight="1">
      <c r="A7" s="33">
        <f>1+$A6</f>
        <v>2003</v>
      </c>
      <c r="B7" s="18">
        <f>-45.012-43.592+1627.006</f>
        <v>1538.402</v>
      </c>
      <c r="C7" s="19">
        <v>-65.657</v>
      </c>
      <c r="D7" s="19">
        <f>B7+C7</f>
        <v>1472.745</v>
      </c>
      <c r="E7" s="19">
        <f>B7+E6</f>
        <v>1190.888</v>
      </c>
      <c r="F7" s="19">
        <f>C7+F6</f>
        <v>-654.225</v>
      </c>
      <c r="G7" s="19">
        <f>D7+G6</f>
        <v>536.663</v>
      </c>
    </row>
    <row r="8" ht="20.05" customHeight="1">
      <c r="A8" s="33">
        <f>1+$A7</f>
        <v>2004</v>
      </c>
      <c r="B8" s="18">
        <f>-58.528-42.311+258.175</f>
        <v>157.336</v>
      </c>
      <c r="C8" s="19">
        <v>-94.22499999999999</v>
      </c>
      <c r="D8" s="19">
        <f>B8+C8</f>
        <v>63.111</v>
      </c>
      <c r="E8" s="19">
        <f>B8+E7</f>
        <v>1348.224</v>
      </c>
      <c r="F8" s="19">
        <f>C8+F7</f>
        <v>-748.45</v>
      </c>
      <c r="G8" s="19">
        <f>D8+G7</f>
        <v>599.774</v>
      </c>
    </row>
    <row r="9" ht="20.05" customHeight="1">
      <c r="A9" s="33">
        <f>1+$A8</f>
        <v>2005</v>
      </c>
      <c r="B9" s="18">
        <f>-38.021-201.541</f>
        <v>-239.562</v>
      </c>
      <c r="C9" s="19">
        <v>-258.184</v>
      </c>
      <c r="D9" s="19">
        <f>B9+C9</f>
        <v>-497.746</v>
      </c>
      <c r="E9" s="19">
        <f>B9+E8</f>
        <v>1108.662</v>
      </c>
      <c r="F9" s="19">
        <f>C9+F8</f>
        <v>-1006.634</v>
      </c>
      <c r="G9" s="19">
        <f>D9+G8</f>
        <v>102.028</v>
      </c>
    </row>
    <row r="10" ht="20.05" customHeight="1">
      <c r="A10" s="33">
        <f>1+$A9</f>
        <v>2006</v>
      </c>
      <c r="B10" s="18">
        <f>-1759.283+1091.42</f>
        <v>-667.8630000000001</v>
      </c>
      <c r="C10" s="19">
        <v>-286.286</v>
      </c>
      <c r="D10" s="19">
        <f>B10+C10</f>
        <v>-954.149</v>
      </c>
      <c r="E10" s="19">
        <f>B10+E9</f>
        <v>440.799</v>
      </c>
      <c r="F10" s="19">
        <f>C10+F9</f>
        <v>-1292.92</v>
      </c>
      <c r="G10" s="19">
        <f>D10+G9</f>
        <v>-852.121</v>
      </c>
    </row>
    <row r="11" ht="20.05" customHeight="1">
      <c r="A11" s="33">
        <f>1+$A10</f>
        <v>2007</v>
      </c>
      <c r="B11" s="18">
        <v>-461.822</v>
      </c>
      <c r="C11" s="19">
        <v>-621.11</v>
      </c>
      <c r="D11" s="19">
        <f>B11+C11</f>
        <v>-1082.932</v>
      </c>
      <c r="E11" s="19">
        <f>B11+E10</f>
        <v>-21.023</v>
      </c>
      <c r="F11" s="19">
        <f>C11+F10</f>
        <v>-1914.03</v>
      </c>
      <c r="G11" s="19">
        <f>D11+G10</f>
        <v>-1935.053</v>
      </c>
    </row>
    <row r="12" ht="20.05" customHeight="1">
      <c r="A12" s="33">
        <f>1+$A11</f>
        <v>2008</v>
      </c>
      <c r="B12" s="18">
        <v>-243.787</v>
      </c>
      <c r="C12" s="19">
        <f>-2052.984-13.435</f>
        <v>-2066.419</v>
      </c>
      <c r="D12" s="19">
        <f>B12+C12</f>
        <v>-2310.206</v>
      </c>
      <c r="E12" s="19">
        <f>B12+E11</f>
        <v>-264.81</v>
      </c>
      <c r="F12" s="19">
        <f>C12+F11</f>
        <v>-3980.449</v>
      </c>
      <c r="G12" s="19">
        <f>D12+G11</f>
        <v>-4245.259</v>
      </c>
    </row>
    <row r="13" ht="20.05" customHeight="1">
      <c r="A13" s="33">
        <f>1+$A12</f>
        <v>2009</v>
      </c>
      <c r="B13" s="18">
        <v>-232.681</v>
      </c>
      <c r="C13" s="19">
        <v>-547.255</v>
      </c>
      <c r="D13" s="19">
        <f>B13+C13</f>
        <v>-779.936</v>
      </c>
      <c r="E13" s="19">
        <f>B13+E12</f>
        <v>-497.491</v>
      </c>
      <c r="F13" s="19">
        <f>C13+F12</f>
        <v>-4527.704</v>
      </c>
      <c r="G13" s="19">
        <f>D13+G12</f>
        <v>-5025.195</v>
      </c>
    </row>
    <row r="14" ht="20.05" customHeight="1">
      <c r="A14" s="33">
        <f>1+$A13</f>
        <v>2010</v>
      </c>
      <c r="B14" s="18">
        <f>539.46-230.689</f>
        <v>308.771</v>
      </c>
      <c r="C14" s="19">
        <v>-241.722</v>
      </c>
      <c r="D14" s="19">
        <f>B14+C14</f>
        <v>67.04900000000001</v>
      </c>
      <c r="E14" s="19">
        <f>B14+E13</f>
        <v>-188.72</v>
      </c>
      <c r="F14" s="19">
        <f>C14+F13</f>
        <v>-4769.426</v>
      </c>
      <c r="G14" s="19">
        <f>D14+G13</f>
        <v>-4958.146</v>
      </c>
    </row>
    <row r="15" ht="20.05" customHeight="1">
      <c r="A15" s="33">
        <f>1+$A14</f>
        <v>2011</v>
      </c>
      <c r="B15" s="18">
        <f>3000-1430.063+705.889</f>
        <v>2275.826</v>
      </c>
      <c r="C15" s="19">
        <v>-673.359</v>
      </c>
      <c r="D15" s="19">
        <f>B15+C15</f>
        <v>1602.467</v>
      </c>
      <c r="E15" s="19">
        <f>B15+E14</f>
        <v>2087.106</v>
      </c>
      <c r="F15" s="19">
        <f>C15+F14</f>
        <v>-5442.785</v>
      </c>
      <c r="G15" s="19">
        <f>D15+G14</f>
        <v>-3355.679</v>
      </c>
    </row>
    <row r="16" ht="20.05" customHeight="1">
      <c r="A16" s="33">
        <f>1+$A15</f>
        <v>2012</v>
      </c>
      <c r="B16" s="18">
        <f>1659.07-20</f>
        <v>1639.07</v>
      </c>
      <c r="C16" s="19">
        <f>12-867.55</f>
        <v>-855.55</v>
      </c>
      <c r="D16" s="19">
        <f>B16+C16</f>
        <v>783.52</v>
      </c>
      <c r="E16" s="19">
        <f>B16+E15</f>
        <v>3726.176</v>
      </c>
      <c r="F16" s="19">
        <f>C16+F15</f>
        <v>-6298.335</v>
      </c>
      <c r="G16" s="19">
        <f>D16+G15</f>
        <v>-2572.159</v>
      </c>
    </row>
    <row r="17" ht="20.05" customHeight="1">
      <c r="A17" s="33">
        <f>1+$A16</f>
        <v>2013</v>
      </c>
      <c r="B17" s="18">
        <f>4617.337-3281.114</f>
        <v>1336.223</v>
      </c>
      <c r="C17" s="19">
        <v>-448.967</v>
      </c>
      <c r="D17" s="19">
        <f>B17+C17</f>
        <v>887.256</v>
      </c>
      <c r="E17" s="19">
        <f>B17+E16</f>
        <v>5062.399</v>
      </c>
      <c r="F17" s="19">
        <f>C17+F16</f>
        <v>-6747.302</v>
      </c>
      <c r="G17" s="19">
        <f>D17+G16</f>
        <v>-1684.903</v>
      </c>
    </row>
    <row r="18" ht="20.05" customHeight="1">
      <c r="A18" s="33">
        <f>1+$A17</f>
        <v>2014</v>
      </c>
      <c r="B18" s="18">
        <f>4365.424-3317.105</f>
        <v>1048.319</v>
      </c>
      <c r="C18" s="19">
        <v>-92.23699999999999</v>
      </c>
      <c r="D18" s="19">
        <f>B18+C18</f>
        <v>956.082</v>
      </c>
      <c r="E18" s="19">
        <f>B18+E17</f>
        <v>6110.718</v>
      </c>
      <c r="F18" s="19">
        <f>C18+F17</f>
        <v>-6839.539</v>
      </c>
      <c r="G18" s="19">
        <f>D18+G17</f>
        <v>-728.821</v>
      </c>
    </row>
    <row r="19" ht="20.05" customHeight="1">
      <c r="A19" s="33">
        <f>1+$A18</f>
        <v>2015</v>
      </c>
      <c r="B19" s="18">
        <f>7099.305-5566.175</f>
        <v>1533.13</v>
      </c>
      <c r="C19" s="19">
        <v>5354.246</v>
      </c>
      <c r="D19" s="19">
        <f>B19+C19</f>
        <v>6887.376</v>
      </c>
      <c r="E19" s="19">
        <f>B19+E18</f>
        <v>7643.848</v>
      </c>
      <c r="F19" s="19">
        <f>C19+F18</f>
        <v>-1485.293</v>
      </c>
      <c r="G19" s="19">
        <f>D19+G18</f>
        <v>6158.555</v>
      </c>
    </row>
    <row r="20" ht="20.05" customHeight="1">
      <c r="A20" s="33">
        <f>1+$A19</f>
        <v>2016</v>
      </c>
      <c r="B20" s="18">
        <f>5755.18-5782.02</f>
        <v>-26.84</v>
      </c>
      <c r="C20" s="19">
        <v>0</v>
      </c>
      <c r="D20" s="19">
        <f>B20+C20</f>
        <v>-26.84</v>
      </c>
      <c r="E20" s="19">
        <f>B20+E19</f>
        <v>7617.008</v>
      </c>
      <c r="F20" s="19">
        <f>C20+F19</f>
        <v>-1485.293</v>
      </c>
      <c r="G20" s="19">
        <f>D20+G19</f>
        <v>6131.715</v>
      </c>
    </row>
    <row r="21" ht="20.05" customHeight="1">
      <c r="A21" s="33">
        <f>1+$A20</f>
        <v>2017</v>
      </c>
      <c r="B21" s="18">
        <f>4665-5233.358</f>
        <v>-568.3579999999999</v>
      </c>
      <c r="C21" s="19"/>
      <c r="D21" s="19">
        <f>B21+C21</f>
        <v>-568.3579999999999</v>
      </c>
      <c r="E21" s="19">
        <f>B21+E20</f>
        <v>7048.65</v>
      </c>
      <c r="F21" s="19">
        <f>C21+F20</f>
        <v>-1485.293</v>
      </c>
      <c r="G21" s="19">
        <f>D21+G20</f>
        <v>5563.357</v>
      </c>
    </row>
    <row r="22" ht="20.05" customHeight="1">
      <c r="A22" s="33">
        <f>1+$A21</f>
        <v>2018</v>
      </c>
      <c r="B22" s="18">
        <f>-900+6222.198-6263.031+368.85</f>
        <v>-571.9829999999999</v>
      </c>
      <c r="C22" s="19">
        <v>-47.777</v>
      </c>
      <c r="D22" s="19">
        <f>B22+C22</f>
        <v>-619.76</v>
      </c>
      <c r="E22" s="19">
        <f>B22+E21</f>
        <v>6476.667</v>
      </c>
      <c r="F22" s="19">
        <f>C22+F21</f>
        <v>-1533.07</v>
      </c>
      <c r="G22" s="19">
        <f>D22+G21</f>
        <v>4943.597</v>
      </c>
    </row>
    <row r="23" ht="20.05" customHeight="1">
      <c r="A23" s="33">
        <f>1+$A22</f>
        <v>2019</v>
      </c>
      <c r="B23" s="18">
        <f>-1363.159-C23</f>
        <v>-1057.111</v>
      </c>
      <c r="C23" s="19">
        <v>-306.048</v>
      </c>
      <c r="D23" s="19">
        <f>B23+C23</f>
        <v>-1363.159</v>
      </c>
      <c r="E23" s="19">
        <f>B23+E22</f>
        <v>5419.556</v>
      </c>
      <c r="F23" s="19">
        <f>C23+F22</f>
        <v>-1839.118</v>
      </c>
      <c r="G23" s="19">
        <f>D23+G22</f>
        <v>3580.438</v>
      </c>
    </row>
    <row r="24" ht="20.05" customHeight="1">
      <c r="A24" s="33">
        <f>1+$A23</f>
        <v>2020</v>
      </c>
      <c r="B24" s="18">
        <f>-1218.455+63.484-C24</f>
        <v>-1087.124</v>
      </c>
      <c r="C24" s="19">
        <v>-67.84699999999999</v>
      </c>
      <c r="D24" s="19">
        <f>B24+C24</f>
        <v>-1154.971</v>
      </c>
      <c r="E24" s="19">
        <f>B24+E23</f>
        <v>4332.432</v>
      </c>
      <c r="F24" s="19">
        <f>C24+F23</f>
        <v>-1906.965</v>
      </c>
      <c r="G24" s="19">
        <f>D24+G23</f>
        <v>2425.467</v>
      </c>
    </row>
    <row r="25" ht="20.05" customHeight="1">
      <c r="A25" s="33">
        <f>1+$A24</f>
        <v>2021</v>
      </c>
      <c r="B25" s="18">
        <f>SUM('Cashflow'!G28:G31)</f>
        <v>-1722.7</v>
      </c>
      <c r="C25" s="19">
        <f>SUM('Cashflow'!H28:H31)</f>
        <v>-402.3</v>
      </c>
      <c r="D25" s="19">
        <f>B25+C25</f>
        <v>-2125</v>
      </c>
      <c r="E25" s="19">
        <f>B25+E24</f>
        <v>2609.732</v>
      </c>
      <c r="F25" s="19">
        <f>C25+F24</f>
        <v>-2309.265</v>
      </c>
      <c r="G25" s="19">
        <f>D25+G24</f>
        <v>300.467</v>
      </c>
    </row>
  </sheetData>
  <mergeCells count="1">
    <mergeCell ref="A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