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<sst xmlns="http://schemas.openxmlformats.org/spreadsheetml/2006/main" uniqueCount="61">
  <si>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</si>
  <si>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>$m</t>
  </si>
  <si>
    <t>4Q 2022</t>
  </si>
  <si>
    <t>Cash 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</si>
  <si>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</si>
  <si>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</si>
  <si>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</si>
  <si>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</si>
  <si>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</si>
  <si>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</si>
  <si>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</si>
  <si>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</si>
  <si>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</si>
  <si>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</si>
  <si>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</si>
  <si>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 cash</t>
  </si>
  <si>
    <t xml:space="preserve">Change </t>
  </si>
  <si>
    <t>Ending cash</t>
  </si>
  <si>
    <t>Profit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</si>
  <si>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</si>
  <si>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</si>
  <si>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</si>
  <si>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</si>
  <si>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</si>
  <si>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>Net other assets</t>
  </si>
  <si>
    <t>Check</t>
  </si>
  <si>
    <t>Net cash</t>
  </si>
  <si>
    <t xml:space="preserve">Valuation </t>
  </si>
  <si>
    <t>Rupiah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</si>
  <si>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</si>
  <si>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</si>
  <si>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</si>
  <si>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</si>
  <si>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</si>
  <si>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</si>
  <si>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</si>
  <si>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</si>
  <si>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</si>
  <si>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</si>
  <si>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</si>
  <si>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</si>
  <si>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</si>
  <si>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forecasts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</si>
  <si>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</si>
  <si>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</si>
  <si>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</si>
  <si>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</si>
  <si>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</si>
  <si>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</si>
  <si>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>Interest</t>
  </si>
  <si>
    <t xml:space="preserve">Equity </t>
  </si>
  <si>
    <t>Free cash flow</t>
  </si>
  <si>
    <t>Balance sheet</t>
  </si>
  <si>
    <t>Cash</t>
  </si>
  <si>
    <t>Assets</t>
  </si>
  <si>
    <t>Other assets</t>
  </si>
  <si>
    <t>Net debt</t>
  </si>
  <si>
    <t>Share price</t>
  </si>
  <si>
    <t>ANJT</t>
  </si>
  <si>
    <t xml:space="preserve">Target </t>
  </si>
  <si>
    <t xml:space="preserve">Previous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</si>
</sst>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0.0_);[Red]\(0.0\)"/>
    <numFmt numFmtId="61" formatCode="#,##0.0"/>
    <numFmt numFmtId="62" formatCode="0.0"/>
    <numFmt numFmtId="63" formatCode="0_);[Red]\(0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278751</xdr:colOff>
      <xdr:row>2</xdr:row>
      <xdr:rowOff>196515</xdr:rowOff>
    </xdr:from>
    <xdr:to>
      <xdr:col>13</xdr:col>
      <xdr:colOff>345514</xdr:colOff>
      <xdr:row>48</xdr:row>
      <xdr:rowOff>614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36450" y="822625"/>
          <a:ext cx="8778965" cy="115223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0781" style="1" customWidth="1"/>
    <col min="2" max="2" width="16.6641" style="1" customWidth="1"/>
    <col min="3" max="6" width="8.85938" style="1" customWidth="1"/>
    <col min="7" max="16384" width="16.3516" style="1" customWidth="1"/>
  </cols>
  <sheetData>
    <row r="1" ht="21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0.139337112355625</v>
      </c>
      <c r="D4" s="8"/>
      <c r="E4" s="8"/>
      <c r="F4" s="9">
        <f>AVERAGE(C5:F5)</f>
        <v>0.0425</v>
      </c>
    </row>
    <row r="5" ht="20.05" customHeight="1">
      <c r="B5" t="s" s="10">
        <v>4</v>
      </c>
      <c r="C5" s="11">
        <v>0.06</v>
      </c>
      <c r="D5" s="12">
        <v>-0.01</v>
      </c>
      <c r="E5" s="12">
        <v>0.07000000000000001</v>
      </c>
      <c r="F5" s="12">
        <v>0.05</v>
      </c>
    </row>
    <row r="6" ht="20.05" customHeight="1">
      <c r="B6" t="s" s="10">
        <v>5</v>
      </c>
      <c r="C6" s="13">
        <f>'Sales'!C31*(1+C5)</f>
        <v>80.666</v>
      </c>
      <c r="D6" s="14">
        <f>C6*(1+D5)</f>
        <v>79.85934</v>
      </c>
      <c r="E6" s="14">
        <f>D6*(1+E5)</f>
        <v>85.4494938</v>
      </c>
      <c r="F6" s="14">
        <f>E6*(1+F5)</f>
        <v>89.72196848999999</v>
      </c>
    </row>
    <row r="7" ht="20.05" customHeight="1">
      <c r="B7" t="s" s="10">
        <v>6</v>
      </c>
      <c r="C7" s="11">
        <f>AVERAGE('Sales'!H31)</f>
        <v>-0.734231274638633</v>
      </c>
      <c r="D7" s="15">
        <f>C7</f>
        <v>-0.734231274638633</v>
      </c>
      <c r="E7" s="15">
        <f>D7</f>
        <v>-0.734231274638633</v>
      </c>
      <c r="F7" s="15">
        <f>E7</f>
        <v>-0.734231274638633</v>
      </c>
    </row>
    <row r="8" ht="20.05" customHeight="1">
      <c r="B8" t="s" s="10">
        <v>7</v>
      </c>
      <c r="C8" s="16">
        <f>C6*C7</f>
        <v>-59.2275</v>
      </c>
      <c r="D8" s="17">
        <f>D6*D7</f>
        <v>-58.635225</v>
      </c>
      <c r="E8" s="17">
        <f>E6*E7</f>
        <v>-62.73969075</v>
      </c>
      <c r="F8" s="17">
        <f>F6*F7</f>
        <v>-65.87667528750001</v>
      </c>
    </row>
    <row r="9" ht="20.05" customHeight="1">
      <c r="B9" t="s" s="10">
        <v>8</v>
      </c>
      <c r="C9" s="16">
        <f>C6+C8</f>
        <v>21.4385</v>
      </c>
      <c r="D9" s="17">
        <f>D6+D8</f>
        <v>21.224115</v>
      </c>
      <c r="E9" s="17">
        <f>E6+E8</f>
        <v>22.70980305</v>
      </c>
      <c r="F9" s="17">
        <f>F6+F8</f>
        <v>23.8452932025</v>
      </c>
    </row>
    <row r="10" ht="20.05" customHeight="1">
      <c r="B10" t="s" s="10">
        <v>9</v>
      </c>
      <c r="C10" s="16">
        <f>AVERAGE('Cashflow'!E28:E31)</f>
        <v>-10.725</v>
      </c>
      <c r="D10" s="17">
        <f>C10</f>
        <v>-10.725</v>
      </c>
      <c r="E10" s="17">
        <f>D10</f>
        <v>-10.725</v>
      </c>
      <c r="F10" s="17">
        <f>E10</f>
        <v>-10.725</v>
      </c>
    </row>
    <row r="11" ht="20.05" customHeight="1">
      <c r="B11" t="s" s="10">
        <v>10</v>
      </c>
      <c r="C11" s="16">
        <f>C12+C13+C15</f>
        <v>-10.7135</v>
      </c>
      <c r="D11" s="17">
        <f>D12+D13+D15</f>
        <v>-10.499115</v>
      </c>
      <c r="E11" s="17">
        <f>E12+E13+E15</f>
        <v>-11.98480305</v>
      </c>
      <c r="F11" s="17">
        <f>F12+F13+F15</f>
        <v>-13.1202932025</v>
      </c>
    </row>
    <row r="12" ht="20.05" customHeight="1">
      <c r="B12" t="s" s="10">
        <v>11</v>
      </c>
      <c r="C12" s="16">
        <f>-('Balance sheet'!G31)/20</f>
        <v>-10.95</v>
      </c>
      <c r="D12" s="17">
        <f>-C26/20</f>
        <v>-10.4025</v>
      </c>
      <c r="E12" s="17">
        <f>-D26/20</f>
        <v>-9.882375</v>
      </c>
      <c r="F12" s="17">
        <f>-E26/20</f>
        <v>-9.38825625</v>
      </c>
    </row>
    <row r="13" ht="20.05" customHeight="1">
      <c r="B13" t="s" s="10">
        <v>12</v>
      </c>
      <c r="C13" s="16">
        <f>IF(C21&gt;0,-C21*0.1,0)</f>
        <v>-1.52135</v>
      </c>
      <c r="D13" s="17">
        <f>IF(D21&gt;0,-D21*0.1,0)</f>
        <v>-1.4999115</v>
      </c>
      <c r="E13" s="17">
        <f>IF(E21&gt;0,-E21*0.1,0)</f>
        <v>-1.648480305</v>
      </c>
      <c r="F13" s="17">
        <f>IF(F21&gt;0,-F21*0.1,0)</f>
        <v>-1.762029320250</v>
      </c>
    </row>
    <row r="14" ht="20.05" customHeight="1">
      <c r="B14" t="s" s="10">
        <v>13</v>
      </c>
      <c r="C14" s="16">
        <f>C9+C10+C12+C13</f>
        <v>-1.75785</v>
      </c>
      <c r="D14" s="17">
        <f>D9+D10+D12+D13</f>
        <v>-1.4032965</v>
      </c>
      <c r="E14" s="17">
        <f>E9+E10+E12+E13</f>
        <v>0.453947745</v>
      </c>
      <c r="F14" s="17">
        <f>F9+F10+F12+F13</f>
        <v>1.970007632250</v>
      </c>
    </row>
    <row r="15" ht="20.05" customHeight="1">
      <c r="B15" t="s" s="10">
        <v>14</v>
      </c>
      <c r="C15" s="16">
        <f>-MIN(0,C14)</f>
        <v>1.75785</v>
      </c>
      <c r="D15" s="17">
        <f>-MIN(C27,D14)</f>
        <v>1.4032965</v>
      </c>
      <c r="E15" s="17">
        <f>-MIN(D27,E14)</f>
        <v>-0.453947745</v>
      </c>
      <c r="F15" s="17">
        <f>-MIN(E27,F14)</f>
        <v>-1.970007632250</v>
      </c>
    </row>
    <row r="16" ht="20.05" customHeight="1">
      <c r="B16" t="s" s="10">
        <v>15</v>
      </c>
      <c r="C16" s="16">
        <f>'Balance sheet'!C31</f>
        <v>27</v>
      </c>
      <c r="D16" s="17">
        <f>C18</f>
        <v>27</v>
      </c>
      <c r="E16" s="17">
        <f>D18</f>
        <v>27</v>
      </c>
      <c r="F16" s="17">
        <f>E18</f>
        <v>27</v>
      </c>
    </row>
    <row r="17" ht="20.05" customHeight="1">
      <c r="B17" t="s" s="10">
        <v>16</v>
      </c>
      <c r="C17" s="16">
        <f>C9+C10+C11</f>
        <v>0</v>
      </c>
      <c r="D17" s="17">
        <f>D9+D10+D11</f>
        <v>0</v>
      </c>
      <c r="E17" s="17">
        <f>E9+E10+E11</f>
        <v>0</v>
      </c>
      <c r="F17" s="17">
        <f>F9+F10+F11</f>
        <v>0</v>
      </c>
    </row>
    <row r="18" ht="20.05" customHeight="1">
      <c r="B18" t="s" s="10">
        <v>17</v>
      </c>
      <c r="C18" s="16">
        <f>C16+C17</f>
        <v>27</v>
      </c>
      <c r="D18" s="17">
        <f>D16+D17</f>
        <v>27</v>
      </c>
      <c r="E18" s="17">
        <f>E16+E17</f>
        <v>27</v>
      </c>
      <c r="F18" s="17">
        <f>F16+F17</f>
        <v>27</v>
      </c>
    </row>
    <row r="19" ht="20.05" customHeight="1">
      <c r="B19" t="s" s="18">
        <v>18</v>
      </c>
      <c r="C19" s="19"/>
      <c r="D19" s="20"/>
      <c r="E19" s="21"/>
      <c r="F19" s="22"/>
    </row>
    <row r="20" ht="20.05" customHeight="1">
      <c r="B20" t="s" s="10">
        <v>19</v>
      </c>
      <c r="C20" s="23">
        <f>-AVERAGE('Sales'!E31)</f>
        <v>-6.225</v>
      </c>
      <c r="D20" s="24">
        <f>C20</f>
        <v>-6.225</v>
      </c>
      <c r="E20" s="24">
        <f>D20</f>
        <v>-6.225</v>
      </c>
      <c r="F20" s="24">
        <f>E20</f>
        <v>-6.225</v>
      </c>
    </row>
    <row r="21" ht="20.05" customHeight="1">
      <c r="B21" t="s" s="10">
        <v>20</v>
      </c>
      <c r="C21" s="23">
        <f>C6+C8+C20</f>
        <v>15.2135</v>
      </c>
      <c r="D21" s="24">
        <f>D6+D8+D20</f>
        <v>14.999115</v>
      </c>
      <c r="E21" s="24">
        <f>E6+E8+E20</f>
        <v>16.48480305</v>
      </c>
      <c r="F21" s="24">
        <f>F6+F8+F20</f>
        <v>17.6202932025</v>
      </c>
    </row>
    <row r="22" ht="20.05" customHeight="1">
      <c r="B22" t="s" s="18">
        <v>21</v>
      </c>
      <c r="C22" s="19"/>
      <c r="D22" s="20"/>
      <c r="E22" s="25"/>
      <c r="F22" s="24"/>
    </row>
    <row r="23" ht="20.05" customHeight="1">
      <c r="B23" t="s" s="10">
        <v>22</v>
      </c>
      <c r="C23" s="16">
        <f>'Balance sheet'!E31+'Balance sheet'!F31-C10</f>
        <v>894.95</v>
      </c>
      <c r="D23" s="17">
        <f>C23-D10</f>
        <v>905.675</v>
      </c>
      <c r="E23" s="17">
        <f>D23-E10</f>
        <v>916.4</v>
      </c>
      <c r="F23" s="17">
        <f>E23-F10</f>
        <v>927.125</v>
      </c>
    </row>
    <row r="24" ht="20.05" customHeight="1">
      <c r="B24" t="s" s="10">
        <v>23</v>
      </c>
      <c r="C24" s="16">
        <f>'Balance sheet'!F31-C20</f>
        <v>264.45</v>
      </c>
      <c r="D24" s="17">
        <f>C24-D20</f>
        <v>270.675</v>
      </c>
      <c r="E24" s="17">
        <f>D24-E20</f>
        <v>276.9</v>
      </c>
      <c r="F24" s="17">
        <f>E24-F20</f>
        <v>283.125</v>
      </c>
    </row>
    <row r="25" ht="20.05" customHeight="1">
      <c r="B25" t="s" s="10">
        <v>24</v>
      </c>
      <c r="C25" s="16">
        <f>C23-C24</f>
        <v>630.5</v>
      </c>
      <c r="D25" s="17">
        <f>D23-D24</f>
        <v>635</v>
      </c>
      <c r="E25" s="17">
        <f>E23-E24</f>
        <v>639.5</v>
      </c>
      <c r="F25" s="17">
        <f>F23-F24</f>
        <v>644</v>
      </c>
    </row>
    <row r="26" ht="20.05" customHeight="1">
      <c r="B26" t="s" s="10">
        <v>11</v>
      </c>
      <c r="C26" s="16">
        <f>'Balance sheet'!G31+C12</f>
        <v>208.05</v>
      </c>
      <c r="D26" s="17">
        <f>C26+D12</f>
        <v>197.6475</v>
      </c>
      <c r="E26" s="17">
        <f>D26+E12</f>
        <v>187.765125</v>
      </c>
      <c r="F26" s="17">
        <f>E26+F12</f>
        <v>178.37686875</v>
      </c>
    </row>
    <row r="27" ht="20.05" customHeight="1">
      <c r="B27" t="s" s="10">
        <v>14</v>
      </c>
      <c r="C27" s="16">
        <f>C15</f>
        <v>1.75785</v>
      </c>
      <c r="D27" s="17">
        <f>C27+D15</f>
        <v>3.1611465</v>
      </c>
      <c r="E27" s="17">
        <f>D27+E15</f>
        <v>2.707198755</v>
      </c>
      <c r="F27" s="17">
        <f>E27+F15</f>
        <v>0.737191122750</v>
      </c>
    </row>
    <row r="28" ht="20.05" customHeight="1">
      <c r="B28" t="s" s="10">
        <v>12</v>
      </c>
      <c r="C28" s="16">
        <f>'Balance sheet'!H31+C21+C13</f>
        <v>447.69215</v>
      </c>
      <c r="D28" s="17">
        <f>C28+D21+D13</f>
        <v>461.1913535</v>
      </c>
      <c r="E28" s="17">
        <f>D28+E21+E13</f>
        <v>476.027676245</v>
      </c>
      <c r="F28" s="17">
        <f>E28+F21+F13</f>
        <v>491.885940127250</v>
      </c>
    </row>
    <row r="29" ht="20.05" customHeight="1">
      <c r="B29" t="s" s="10">
        <v>25</v>
      </c>
      <c r="C29" s="16">
        <f>C26+C27+C28-C18-C25</f>
        <v>0</v>
      </c>
      <c r="D29" s="17">
        <f>D26+D27+D28-D18-D25</f>
        <v>0</v>
      </c>
      <c r="E29" s="17">
        <f>E26+E27+E28-E18-E25</f>
        <v>0</v>
      </c>
      <c r="F29" s="17">
        <f>F26+F27+F28-F18-F25</f>
        <v>0</v>
      </c>
    </row>
    <row r="30" ht="20.05" customHeight="1">
      <c r="B30" t="s" s="10">
        <v>26</v>
      </c>
      <c r="C30" s="16">
        <f>C18-C26-C27</f>
        <v>-182.80785</v>
      </c>
      <c r="D30" s="17">
        <f>D18-D26-D27</f>
        <v>-173.8086465</v>
      </c>
      <c r="E30" s="17">
        <f>E18-E26-E27</f>
        <v>-163.472323755</v>
      </c>
      <c r="F30" s="17">
        <f>F18-F26-F27</f>
        <v>-152.114059872750</v>
      </c>
    </row>
    <row r="31" ht="20.05" customHeight="1">
      <c r="B31" t="s" s="18">
        <v>27</v>
      </c>
      <c r="C31" s="16"/>
      <c r="D31" s="17"/>
      <c r="E31" s="17"/>
      <c r="F31" s="17"/>
    </row>
    <row r="32" ht="20.05" customHeight="1">
      <c r="B32" t="s" s="10">
        <v>28</v>
      </c>
      <c r="C32" s="16"/>
      <c r="D32" s="17"/>
      <c r="E32" s="17"/>
      <c r="F32" s="17">
        <v>14</v>
      </c>
    </row>
    <row r="33" ht="20.05" customHeight="1">
      <c r="B33" t="s" s="10">
        <v>29</v>
      </c>
      <c r="C33" s="16">
        <f>'Cashflow'!M31-C11</f>
        <v>-124.5865</v>
      </c>
      <c r="D33" s="17">
        <f>C33-D11</f>
        <v>-114.087385</v>
      </c>
      <c r="E33" s="17">
        <f>D33-E11</f>
        <v>-102.10258195</v>
      </c>
      <c r="F33" s="17">
        <f>E33-F11</f>
        <v>-88.98228874749999</v>
      </c>
    </row>
    <row r="34" ht="20.05" customHeight="1">
      <c r="B34" t="s" s="10">
        <v>30</v>
      </c>
      <c r="C34" s="16"/>
      <c r="D34" s="17"/>
      <c r="E34" s="17"/>
      <c r="F34" s="17">
        <v>3643137999360</v>
      </c>
    </row>
    <row r="35" ht="20.05" customHeight="1">
      <c r="B35" t="s" s="10">
        <v>30</v>
      </c>
      <c r="C35" s="16"/>
      <c r="D35" s="17"/>
      <c r="E35" s="17"/>
      <c r="F35" s="17">
        <f>(F34/1000000000)/F32</f>
        <v>260.224142811429</v>
      </c>
    </row>
    <row r="36" ht="20.05" customHeight="1">
      <c r="B36" t="s" s="10">
        <v>31</v>
      </c>
      <c r="C36" s="16"/>
      <c r="D36" s="17"/>
      <c r="E36" s="17"/>
      <c r="F36" s="26">
        <f>F35/(F18+F25)</f>
        <v>0.387815414025975</v>
      </c>
    </row>
    <row r="37" ht="20.05" customHeight="1">
      <c r="B37" t="s" s="10">
        <v>32</v>
      </c>
      <c r="C37" s="16"/>
      <c r="D37" s="17"/>
      <c r="E37" s="17"/>
      <c r="F37" s="15">
        <f>-(C13+D13+E13+F13)/F35</f>
        <v>0.0247162736545578</v>
      </c>
    </row>
    <row r="38" ht="20.05" customHeight="1">
      <c r="B38" t="s" s="10">
        <v>33</v>
      </c>
      <c r="C38" s="16"/>
      <c r="D38" s="17"/>
      <c r="E38" s="17"/>
      <c r="F38" s="17">
        <f>SUM(C9:F10)</f>
        <v>46.3177112525</v>
      </c>
    </row>
    <row r="39" ht="20.05" customHeight="1">
      <c r="B39" t="s" s="10">
        <v>34</v>
      </c>
      <c r="C39" s="16"/>
      <c r="D39" s="17"/>
      <c r="E39" s="17"/>
      <c r="F39" s="17">
        <f>'Balance sheet'!E31/F38</f>
        <v>13.5153482992148</v>
      </c>
    </row>
    <row r="40" ht="20.05" customHeight="1">
      <c r="B40" t="s" s="10">
        <v>27</v>
      </c>
      <c r="C40" s="16"/>
      <c r="D40" s="17"/>
      <c r="E40" s="17"/>
      <c r="F40" s="17">
        <f>F35/F38</f>
        <v>5.61824269322857</v>
      </c>
    </row>
    <row r="41" ht="20.05" customHeight="1">
      <c r="B41" t="s" s="10">
        <v>35</v>
      </c>
      <c r="C41" s="16"/>
      <c r="D41" s="17"/>
      <c r="E41" s="17"/>
      <c r="F41" s="17">
        <v>8</v>
      </c>
    </row>
    <row r="42" ht="20.05" customHeight="1">
      <c r="B42" t="s" s="10">
        <v>36</v>
      </c>
      <c r="C42" s="16"/>
      <c r="D42" s="17"/>
      <c r="E42" s="17"/>
      <c r="F42" s="17">
        <f>F38*F41</f>
        <v>370.54169002</v>
      </c>
    </row>
    <row r="43" ht="20.05" customHeight="1">
      <c r="B43" t="s" s="10">
        <v>37</v>
      </c>
      <c r="C43" s="16"/>
      <c r="D43" s="17"/>
      <c r="E43" s="17"/>
      <c r="F43" s="17">
        <f>(F34/1000000000)/F45</f>
        <v>3.519940096</v>
      </c>
    </row>
    <row r="44" ht="20.05" customHeight="1">
      <c r="B44" t="s" s="10">
        <v>38</v>
      </c>
      <c r="C44" s="16"/>
      <c r="D44" s="17"/>
      <c r="E44" s="17"/>
      <c r="F44" s="17">
        <f>(F42/F43)*F32</f>
        <v>1473.770438927380</v>
      </c>
    </row>
    <row r="45" ht="20.05" customHeight="1">
      <c r="B45" t="s" s="10">
        <v>39</v>
      </c>
      <c r="C45" s="16"/>
      <c r="D45" s="17"/>
      <c r="E45" s="17"/>
      <c r="F45" s="17">
        <v>1035</v>
      </c>
    </row>
    <row r="46" ht="20.05" customHeight="1">
      <c r="B46" t="s" s="10">
        <v>40</v>
      </c>
      <c r="C46" s="16"/>
      <c r="D46" s="17"/>
      <c r="E46" s="17"/>
      <c r="F46" s="15">
        <f>F44/F45-1</f>
        <v>0.423932791234184</v>
      </c>
    </row>
    <row r="47" ht="20.05" customHeight="1">
      <c r="B47" t="s" s="10">
        <v>41</v>
      </c>
      <c r="C47" s="16"/>
      <c r="D47" s="17"/>
      <c r="E47" s="17"/>
      <c r="F47" s="15">
        <f>'Sales'!C31/'Sales'!C27-1</f>
        <v>0.664843579085539</v>
      </c>
    </row>
    <row r="48" ht="20.05" customHeight="1">
      <c r="B48" t="s" s="10">
        <v>42</v>
      </c>
      <c r="C48" s="16"/>
      <c r="D48" s="17"/>
      <c r="E48" s="17"/>
      <c r="F48" s="15">
        <f>('Sales'!D24+'Sales'!D31+'Sales'!D25+'Sales'!D26+'Sales'!D27+'Sales'!D28+'Sales'!D29+'Sales'!D30)/('Sales'!C24+'Sales'!C25+'Sales'!C26+'Sales'!C27+'Sales'!C28+'Sales'!C29+'Sales'!C31+'Sales'!C30)-1</f>
        <v>-0.0267838088610531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5938" style="27" customWidth="1"/>
    <col min="2" max="2" width="10.3984" style="27" customWidth="1"/>
    <col min="3" max="11" width="10.3828" style="27" customWidth="1"/>
    <col min="12" max="16384" width="16.3516" style="27" customWidth="1"/>
  </cols>
  <sheetData>
    <row r="1" ht="20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35</v>
      </c>
      <c r="E3" t="s" s="5">
        <v>23</v>
      </c>
      <c r="F3" t="s" s="5">
        <v>20</v>
      </c>
      <c r="G3" t="s" s="5">
        <v>43</v>
      </c>
      <c r="H3" t="s" s="5">
        <v>44</v>
      </c>
      <c r="I3" t="s" s="5">
        <v>44</v>
      </c>
      <c r="J3" t="s" s="5">
        <v>35</v>
      </c>
      <c r="K3" t="s" s="5">
        <v>45</v>
      </c>
    </row>
    <row r="4" ht="20.25" customHeight="1">
      <c r="B4" s="28">
        <v>2015</v>
      </c>
      <c r="C4" s="29">
        <v>34.2</v>
      </c>
      <c r="D4" s="30"/>
      <c r="E4" s="31">
        <v>4.6</v>
      </c>
      <c r="F4" s="32">
        <v>0.8</v>
      </c>
      <c r="G4" s="9"/>
      <c r="H4" s="9">
        <f>(E4+F4-C4)/C4</f>
        <v>-0.842105263157895</v>
      </c>
      <c r="I4" s="9"/>
      <c r="J4" s="9"/>
      <c r="K4" s="9"/>
    </row>
    <row r="5" ht="20.05" customHeight="1">
      <c r="B5" s="33"/>
      <c r="C5" s="34">
        <v>38</v>
      </c>
      <c r="D5" s="21"/>
      <c r="E5" s="35">
        <v>4.4</v>
      </c>
      <c r="F5" s="25">
        <v>-0.7</v>
      </c>
      <c r="G5" s="15">
        <f>C5/C4-1</f>
        <v>0.111111111111111</v>
      </c>
      <c r="H5" s="12">
        <f>(E5+F5-C5)/C5</f>
        <v>-0.902631578947368</v>
      </c>
      <c r="I5" s="22"/>
      <c r="J5" s="22"/>
      <c r="K5" s="22"/>
    </row>
    <row r="6" ht="20.05" customHeight="1">
      <c r="B6" s="33"/>
      <c r="C6" s="34">
        <v>29.7</v>
      </c>
      <c r="D6" s="21"/>
      <c r="E6" s="35">
        <v>4.2</v>
      </c>
      <c r="F6" s="25">
        <v>-8</v>
      </c>
      <c r="G6" s="15">
        <f>C6/C5-1</f>
        <v>-0.218421052631579</v>
      </c>
      <c r="H6" s="12">
        <f>(E6+F6-C6)/C6</f>
        <v>-1.12794612794613</v>
      </c>
      <c r="I6" s="22"/>
      <c r="J6" s="22"/>
      <c r="K6" s="22"/>
    </row>
    <row r="7" ht="20.05" customHeight="1">
      <c r="B7" s="33"/>
      <c r="C7" s="34">
        <v>24.1</v>
      </c>
      <c r="D7" s="21"/>
      <c r="E7" s="35">
        <v>4.2</v>
      </c>
      <c r="F7" s="25">
        <v>-0.5</v>
      </c>
      <c r="G7" s="15">
        <f>C7/C6-1</f>
        <v>-0.188552188552189</v>
      </c>
      <c r="H7" s="12">
        <f>(E7+F7-C7)/C7</f>
        <v>-0.846473029045643</v>
      </c>
      <c r="I7" s="22"/>
      <c r="J7" s="22"/>
      <c r="K7" s="22"/>
    </row>
    <row r="8" ht="20.05" customHeight="1">
      <c r="B8" s="36">
        <v>2016</v>
      </c>
      <c r="C8" s="34">
        <v>23.3</v>
      </c>
      <c r="D8" s="21"/>
      <c r="E8" s="35">
        <v>4</v>
      </c>
      <c r="F8" s="25">
        <v>-1.8</v>
      </c>
      <c r="G8" s="15">
        <f>C8/C7-1</f>
        <v>-0.033195020746888</v>
      </c>
      <c r="H8" s="12">
        <f>(E8+F8-C8)/C8</f>
        <v>-0.905579399141631</v>
      </c>
      <c r="I8" s="22"/>
      <c r="J8" s="22"/>
      <c r="K8" s="22"/>
    </row>
    <row r="9" ht="20.05" customHeight="1">
      <c r="B9" s="33"/>
      <c r="C9" s="34">
        <v>31.6</v>
      </c>
      <c r="D9" s="21"/>
      <c r="E9" s="35">
        <v>3.9</v>
      </c>
      <c r="F9" s="25">
        <v>0.9</v>
      </c>
      <c r="G9" s="15">
        <f>C9/C8-1</f>
        <v>0.356223175965665</v>
      </c>
      <c r="H9" s="12">
        <f>(E9+F9-C9)/C9</f>
        <v>-0.848101265822785</v>
      </c>
      <c r="I9" s="22"/>
      <c r="J9" s="22"/>
      <c r="K9" s="22"/>
    </row>
    <row r="10" ht="20.05" customHeight="1">
      <c r="B10" s="33"/>
      <c r="C10" s="34">
        <v>40.6</v>
      </c>
      <c r="D10" s="21"/>
      <c r="E10" s="35">
        <v>4.4</v>
      </c>
      <c r="F10" s="25">
        <v>7.3</v>
      </c>
      <c r="G10" s="15">
        <f>C10/C9-1</f>
        <v>0.284810126582278</v>
      </c>
      <c r="H10" s="12">
        <f>(E10+F10-C10)/C10</f>
        <v>-0.711822660098522</v>
      </c>
      <c r="I10" s="22"/>
      <c r="J10" s="22"/>
      <c r="K10" s="22"/>
    </row>
    <row r="11" ht="20.05" customHeight="1">
      <c r="B11" s="33"/>
      <c r="C11" s="34">
        <v>38.9</v>
      </c>
      <c r="D11" s="21"/>
      <c r="E11" s="35">
        <v>4.3</v>
      </c>
      <c r="F11" s="25">
        <v>2.8</v>
      </c>
      <c r="G11" s="15">
        <f>C11/C10-1</f>
        <v>-0.041871921182266</v>
      </c>
      <c r="H11" s="12">
        <f>(E11+F11-C11)/C11</f>
        <v>-0.817480719794344</v>
      </c>
      <c r="I11" s="22"/>
      <c r="J11" s="22"/>
      <c r="K11" s="22"/>
    </row>
    <row r="12" ht="20.05" customHeight="1">
      <c r="B12" s="36">
        <v>2017</v>
      </c>
      <c r="C12" s="34">
        <v>34.8</v>
      </c>
      <c r="D12" s="21"/>
      <c r="E12" s="35">
        <v>4.7</v>
      </c>
      <c r="F12" s="25">
        <v>23.9</v>
      </c>
      <c r="G12" s="15">
        <f>C12/C11-1</f>
        <v>-0.105398457583548</v>
      </c>
      <c r="H12" s="12">
        <f>(E12+F12-C12)/C12</f>
        <v>-0.17816091954023</v>
      </c>
      <c r="I12" s="12"/>
      <c r="J12" s="12"/>
      <c r="K12" s="12">
        <f>('Cashflow'!D12+'Cashflow'!F12-'Cashflow'!C12)/'Cashflow'!C12</f>
        <v>-0.738372093023256</v>
      </c>
    </row>
    <row r="13" ht="20.05" customHeight="1">
      <c r="B13" s="33"/>
      <c r="C13" s="34">
        <v>32.9</v>
      </c>
      <c r="D13" s="21"/>
      <c r="E13" s="35">
        <v>5</v>
      </c>
      <c r="F13" s="25">
        <v>-0.4</v>
      </c>
      <c r="G13" s="15">
        <f>C13/C12-1</f>
        <v>-0.0545977011494253</v>
      </c>
      <c r="H13" s="12">
        <f>(E13+F13-C13)/C13</f>
        <v>-0.860182370820669</v>
      </c>
      <c r="I13" s="12"/>
      <c r="J13" s="12"/>
      <c r="K13" s="12">
        <f>('Cashflow'!D13+'Cashflow'!F13-'Cashflow'!C13)/'Cashflow'!C13</f>
        <v>-0.996835443037975</v>
      </c>
    </row>
    <row r="14" ht="20.05" customHeight="1">
      <c r="B14" s="33"/>
      <c r="C14" s="34">
        <v>41.3</v>
      </c>
      <c r="D14" s="21"/>
      <c r="E14" s="35">
        <v>4.89</v>
      </c>
      <c r="F14" s="25">
        <v>18</v>
      </c>
      <c r="G14" s="15">
        <f>C14/C13-1</f>
        <v>0.25531914893617</v>
      </c>
      <c r="H14" s="12">
        <f>(E14+F14-C14)/C14</f>
        <v>-0.445762711864407</v>
      </c>
      <c r="I14" s="12"/>
      <c r="J14" s="12"/>
      <c r="K14" s="12">
        <f>('Cashflow'!D14+'Cashflow'!F14-'Cashflow'!C14)/'Cashflow'!C14</f>
        <v>-0.799065420560748</v>
      </c>
    </row>
    <row r="15" ht="20.05" customHeight="1">
      <c r="B15" s="33"/>
      <c r="C15" s="34">
        <v>52.8</v>
      </c>
      <c r="D15" s="21"/>
      <c r="E15" s="35">
        <v>5.2</v>
      </c>
      <c r="F15" s="25">
        <v>5</v>
      </c>
      <c r="G15" s="15">
        <f>C15/C14-1</f>
        <v>0.278450363196126</v>
      </c>
      <c r="H15" s="12">
        <f>(E15+F15-C15)/C15</f>
        <v>-0.806818181818182</v>
      </c>
      <c r="I15" s="12">
        <f>AVERAGE(H12:H15)</f>
        <v>-0.572731046010872</v>
      </c>
      <c r="J15" s="12"/>
      <c r="K15" s="12">
        <f>('Cashflow'!D15+'Cashflow'!F15-'Cashflow'!C15)/'Cashflow'!C15</f>
        <v>-1.2</v>
      </c>
    </row>
    <row r="16" ht="20.05" customHeight="1">
      <c r="B16" s="36">
        <v>2018</v>
      </c>
      <c r="C16" s="34">
        <v>31</v>
      </c>
      <c r="D16" s="21"/>
      <c r="E16" s="35">
        <v>4.7</v>
      </c>
      <c r="F16" s="25">
        <v>-1.7</v>
      </c>
      <c r="G16" s="15">
        <f>C16/C15-1</f>
        <v>-0.412878787878788</v>
      </c>
      <c r="H16" s="12">
        <f>(E16+F16-C16)/C16</f>
        <v>-0.903225806451613</v>
      </c>
      <c r="I16" s="12">
        <f>AVERAGE(H13:H16)</f>
        <v>-0.753997267738718</v>
      </c>
      <c r="J16" s="12"/>
      <c r="K16" s="12">
        <f>('Cashflow'!D16+'Cashflow'!F16-'Cashflow'!C16)/'Cashflow'!C16</f>
        <v>-0.932394366197183</v>
      </c>
    </row>
    <row r="17" ht="20.05" customHeight="1">
      <c r="B17" s="33"/>
      <c r="C17" s="34">
        <v>38.8</v>
      </c>
      <c r="D17" s="21"/>
      <c r="E17" s="35">
        <v>4.4</v>
      </c>
      <c r="F17" s="25">
        <v>1.8</v>
      </c>
      <c r="G17" s="15">
        <f>C17/C16-1</f>
        <v>0.251612903225806</v>
      </c>
      <c r="H17" s="12">
        <f>(E17+F17-C17)/C17</f>
        <v>-0.84020618556701</v>
      </c>
      <c r="I17" s="12">
        <f>AVERAGE(H14:H17)</f>
        <v>-0.749003221425303</v>
      </c>
      <c r="J17" s="12"/>
      <c r="K17" s="12">
        <f>('Cashflow'!D17+'Cashflow'!F17-'Cashflow'!C17)/'Cashflow'!C17</f>
        <v>-1.49367088607595</v>
      </c>
    </row>
    <row r="18" ht="20.05" customHeight="1">
      <c r="B18" s="33"/>
      <c r="C18" s="34">
        <v>40.9</v>
      </c>
      <c r="D18" s="21"/>
      <c r="E18" s="35">
        <v>4.2</v>
      </c>
      <c r="F18" s="25">
        <v>-0.4</v>
      </c>
      <c r="G18" s="15">
        <f>C18/C17-1</f>
        <v>0.0541237113402062</v>
      </c>
      <c r="H18" s="12">
        <f>(E18+F18-C18)/C18</f>
        <v>-0.9070904645476769</v>
      </c>
      <c r="I18" s="12">
        <f>AVERAGE(H15:H18)</f>
        <v>-0.8643351595961209</v>
      </c>
      <c r="J18" s="12"/>
      <c r="K18" s="12">
        <f>('Cashflow'!D18+'Cashflow'!F18-'Cashflow'!C18)/'Cashflow'!C18</f>
        <v>-0.822916666666667</v>
      </c>
    </row>
    <row r="19" ht="20.05" customHeight="1">
      <c r="B19" s="33"/>
      <c r="C19" s="34">
        <v>41</v>
      </c>
      <c r="D19" s="21"/>
      <c r="E19" s="35">
        <v>4.4</v>
      </c>
      <c r="F19" s="25">
        <v>-0.2</v>
      </c>
      <c r="G19" s="15">
        <f>C19/C18-1</f>
        <v>0.00244498777506112</v>
      </c>
      <c r="H19" s="12">
        <f>(E19+F19-C19)/C19</f>
        <v>-0.897560975609756</v>
      </c>
      <c r="I19" s="12">
        <f>AVERAGE(H16:H19)</f>
        <v>-0.887020858044014</v>
      </c>
      <c r="J19" s="12"/>
      <c r="K19" s="12">
        <f>('Cashflow'!D19+'Cashflow'!F19-'Cashflow'!C19)/'Cashflow'!C19</f>
        <v>-1.04050632911392</v>
      </c>
    </row>
    <row r="20" ht="20.05" customHeight="1">
      <c r="B20" s="36">
        <v>2019</v>
      </c>
      <c r="C20" s="34">
        <v>27.6</v>
      </c>
      <c r="D20" s="21"/>
      <c r="E20" s="35">
        <v>4.5</v>
      </c>
      <c r="F20" s="25">
        <v>-5.9</v>
      </c>
      <c r="G20" s="15">
        <f>C20/C19-1</f>
        <v>-0.326829268292683</v>
      </c>
      <c r="H20" s="12">
        <f>(E20+F20-C20)/C20</f>
        <v>-1.05072463768116</v>
      </c>
      <c r="I20" s="12">
        <f>AVERAGE(H17:H20)</f>
        <v>-0.923895565851401</v>
      </c>
      <c r="J20" s="12"/>
      <c r="K20" s="12">
        <f>('Cashflow'!D20+'Cashflow'!F20-'Cashflow'!C20)/'Cashflow'!C20</f>
        <v>-0.826797385620915</v>
      </c>
    </row>
    <row r="21" ht="20.05" customHeight="1">
      <c r="B21" s="33"/>
      <c r="C21" s="34">
        <v>30.6</v>
      </c>
      <c r="D21" s="21"/>
      <c r="E21" s="35">
        <v>4.6</v>
      </c>
      <c r="F21" s="25">
        <v>-6.7</v>
      </c>
      <c r="G21" s="15">
        <f>C21/C20-1</f>
        <v>0.108695652173913</v>
      </c>
      <c r="H21" s="12">
        <f>(E21+F21-C21)/C21</f>
        <v>-1.06862745098039</v>
      </c>
      <c r="I21" s="12">
        <f>AVERAGE(H18:H21)</f>
        <v>-0.981000882204746</v>
      </c>
      <c r="J21" s="12"/>
      <c r="K21" s="12">
        <f>('Cashflow'!D21+'Cashflow'!F21-'Cashflow'!C21)/'Cashflow'!C21</f>
        <v>-1.01261829652997</v>
      </c>
    </row>
    <row r="22" ht="20.05" customHeight="1">
      <c r="B22" s="33"/>
      <c r="C22" s="34">
        <v>33.8</v>
      </c>
      <c r="D22" s="21"/>
      <c r="E22" s="35">
        <v>2.8</v>
      </c>
      <c r="F22" s="25">
        <v>6.6</v>
      </c>
      <c r="G22" s="15">
        <f>C22/C21-1</f>
        <v>0.104575163398693</v>
      </c>
      <c r="H22" s="12">
        <f>(E22+F22-C22)/C22</f>
        <v>-0.72189349112426</v>
      </c>
      <c r="I22" s="12">
        <f>AVERAGE(H19:H22)</f>
        <v>-0.934701638848892</v>
      </c>
      <c r="J22" s="12"/>
      <c r="K22" s="12">
        <f>('Cashflow'!D22+'Cashflow'!F22-'Cashflow'!C22)/'Cashflow'!C22</f>
        <v>-0.831978319783198</v>
      </c>
    </row>
    <row r="23" ht="20.05" customHeight="1">
      <c r="B23" s="33"/>
      <c r="C23" s="34">
        <v>38.4</v>
      </c>
      <c r="D23" s="21"/>
      <c r="E23" s="35">
        <v>3.936359</v>
      </c>
      <c r="F23" s="25">
        <v>1.4</v>
      </c>
      <c r="G23" s="15">
        <f>C23/C22-1</f>
        <v>0.136094674556213</v>
      </c>
      <c r="H23" s="12">
        <f>(E23+F23-C23)/C23</f>
        <v>-0.861032317708333</v>
      </c>
      <c r="I23" s="12">
        <f>AVERAGE(H20:H23)</f>
        <v>-0.925569474373536</v>
      </c>
      <c r="J23" s="12"/>
      <c r="K23" s="12">
        <f>('Cashflow'!D23+'Cashflow'!F23-'Cashflow'!C23)/'Cashflow'!C23</f>
        <v>-1.14655172413793</v>
      </c>
    </row>
    <row r="24" ht="20.05" customHeight="1">
      <c r="B24" s="36">
        <v>2020</v>
      </c>
      <c r="C24" s="34">
        <v>36.8</v>
      </c>
      <c r="D24" s="35">
        <v>33.672</v>
      </c>
      <c r="E24" s="35">
        <v>5.2</v>
      </c>
      <c r="F24" s="25">
        <v>-1.2</v>
      </c>
      <c r="G24" s="15">
        <f>C24/C23-1</f>
        <v>-0.0416666666666667</v>
      </c>
      <c r="H24" s="12">
        <f>(E24+F24-C24)/C24</f>
        <v>-0.891304347826087</v>
      </c>
      <c r="I24" s="12">
        <f>AVERAGE(H21:H24)</f>
        <v>-0.885714401909768</v>
      </c>
      <c r="J24" s="12"/>
      <c r="K24" s="12">
        <f>('Cashflow'!D24+'Cashflow'!F24-'Cashflow'!C24)/'Cashflow'!C24</f>
        <v>-0.961340206185567</v>
      </c>
    </row>
    <row r="25" ht="20.05" customHeight="1">
      <c r="B25" s="33"/>
      <c r="C25" s="34">
        <v>35.853</v>
      </c>
      <c r="D25" s="35">
        <v>35.19</v>
      </c>
      <c r="E25" s="35">
        <v>5.095</v>
      </c>
      <c r="F25" s="25">
        <v>-4.252</v>
      </c>
      <c r="G25" s="15">
        <f>C25/C24-1</f>
        <v>-0.0257336956521739</v>
      </c>
      <c r="H25" s="12">
        <f>(E25+F25-C25)/C25</f>
        <v>-0.976487323236549</v>
      </c>
      <c r="I25" s="12">
        <f>AVERAGE(H22:H25)</f>
        <v>-0.862679369973807</v>
      </c>
      <c r="J25" s="12"/>
      <c r="K25" s="12">
        <f>('Cashflow'!D25+'Cashflow'!F25-'Cashflow'!C25)/'Cashflow'!C25</f>
        <v>-0.831550802139037</v>
      </c>
    </row>
    <row r="26" ht="20.05" customHeight="1">
      <c r="B26" s="33"/>
      <c r="C26" s="34">
        <v>45.737</v>
      </c>
      <c r="D26" s="35">
        <v>38.87</v>
      </c>
      <c r="E26" s="35">
        <v>5.305</v>
      </c>
      <c r="F26" s="25">
        <v>6.852</v>
      </c>
      <c r="G26" s="15">
        <f>C26/C25-1</f>
        <v>0.275681254009427</v>
      </c>
      <c r="H26" s="12">
        <f>(E26+F26-C26)/C26</f>
        <v>-0.734197695520038</v>
      </c>
      <c r="I26" s="12">
        <f>AVERAGE(H23:H26)</f>
        <v>-0.8657554210727521</v>
      </c>
      <c r="J26" s="12"/>
      <c r="K26" s="12">
        <f>('Cashflow'!D26+'Cashflow'!F26-'Cashflow'!C26)/'Cashflow'!C26</f>
        <v>-0.62800875273523</v>
      </c>
    </row>
    <row r="27" ht="20.05" customHeight="1">
      <c r="B27" s="33"/>
      <c r="C27" s="16">
        <v>45.71</v>
      </c>
      <c r="D27" s="35">
        <v>50.3107</v>
      </c>
      <c r="E27" s="35">
        <v>5.2</v>
      </c>
      <c r="F27" s="25">
        <v>0.8</v>
      </c>
      <c r="G27" s="15">
        <f>C27/C26-1</f>
        <v>-0.000590331678947023</v>
      </c>
      <c r="H27" s="12">
        <f>(E27+F27-C27)/C27</f>
        <v>-0.868737694158827</v>
      </c>
      <c r="I27" s="12">
        <f>AVERAGE(H24:H27)</f>
        <v>-0.867681765185375</v>
      </c>
      <c r="J27" s="12"/>
      <c r="K27" s="12">
        <f>('Cashflow'!D27+'Cashflow'!F27-'Cashflow'!C27)/'Cashflow'!C27</f>
        <v>-0.854663774403471</v>
      </c>
    </row>
    <row r="28" ht="20.05" customHeight="1">
      <c r="B28" s="36">
        <v>2021</v>
      </c>
      <c r="C28" s="16">
        <v>58.7</v>
      </c>
      <c r="D28" s="35">
        <v>44.7958</v>
      </c>
      <c r="E28" s="21">
        <v>6.225</v>
      </c>
      <c r="F28" s="25">
        <v>3.1</v>
      </c>
      <c r="G28" s="15">
        <f>C28/C27-1</f>
        <v>0.284182892146139</v>
      </c>
      <c r="H28" s="12">
        <f>(E28+F28-C28)/C28</f>
        <v>-0.84114139693356</v>
      </c>
      <c r="I28" s="12">
        <f>AVERAGE(H25:H28)</f>
        <v>-0.855141027462244</v>
      </c>
      <c r="J28" s="12"/>
      <c r="K28" s="12">
        <f>('Cashflow'!D28+'Cashflow'!F28-'Cashflow'!C28)/'Cashflow'!C28</f>
        <v>-0.72742474916388</v>
      </c>
    </row>
    <row r="29" ht="20.05" customHeight="1">
      <c r="B29" s="33"/>
      <c r="C29" s="16">
        <f>120.4-C28</f>
        <v>61.7</v>
      </c>
      <c r="D29" s="35">
        <v>67.505</v>
      </c>
      <c r="E29" s="21">
        <v>6.225</v>
      </c>
      <c r="F29" s="25">
        <f>12.6-F28</f>
        <v>9.5</v>
      </c>
      <c r="G29" s="15">
        <f>C29/C28-1</f>
        <v>0.0511073253833049</v>
      </c>
      <c r="H29" s="12">
        <f>(E29+F29-C29)/C29</f>
        <v>-0.745137763371151</v>
      </c>
      <c r="I29" s="12">
        <f>AVERAGE(H26:H29)</f>
        <v>-0.7973036374958939</v>
      </c>
      <c r="J29" s="12"/>
      <c r="K29" s="12">
        <f>('Cashflow'!D29+'Cashflow'!F29-'Cashflow'!C29)/'Cashflow'!C29</f>
        <v>-0.695046439628483</v>
      </c>
    </row>
    <row r="30" ht="20.05" customHeight="1">
      <c r="B30" s="33"/>
      <c r="C30" s="16">
        <f>190.9-SUM(C28:C29)</f>
        <v>70.5</v>
      </c>
      <c r="D30" s="35">
        <v>70.955</v>
      </c>
      <c r="E30" s="21">
        <v>6.225</v>
      </c>
      <c r="F30" s="25">
        <f>26-SUM(F28:F29)</f>
        <v>13.4</v>
      </c>
      <c r="G30" s="15">
        <f>C30/C29-1</f>
        <v>0.142625607779579</v>
      </c>
      <c r="H30" s="12">
        <f>(E30+F30-C30)/C30</f>
        <v>-0.721631205673759</v>
      </c>
      <c r="I30" s="12">
        <f>AVERAGE(H27:H30)</f>
        <v>-0.794162015034324</v>
      </c>
      <c r="J30" s="12"/>
      <c r="K30" s="12">
        <f>('Cashflow'!D30+'Cashflow'!F30-'Cashflow'!C30)/'Cashflow'!C30</f>
        <v>-0.676855895196507</v>
      </c>
    </row>
    <row r="31" ht="20.05" customHeight="1">
      <c r="B31" s="33"/>
      <c r="C31" s="16">
        <f>267-C30-C29-C28</f>
        <v>76.09999999999999</v>
      </c>
      <c r="D31" s="35">
        <v>78.255</v>
      </c>
      <c r="E31" s="21">
        <v>6.225</v>
      </c>
      <c r="F31" s="25">
        <f>40-F30-F29-F28</f>
        <v>14</v>
      </c>
      <c r="G31" s="15">
        <f>C31/C30-1</f>
        <v>0.07943262411347519</v>
      </c>
      <c r="H31" s="12">
        <f>(E31+F31-C31)/C31</f>
        <v>-0.734231274638633</v>
      </c>
      <c r="I31" s="12">
        <f>AVERAGE(H28:H31)</f>
        <v>-0.7605354101542759</v>
      </c>
      <c r="J31" s="12">
        <f>I31</f>
        <v>-0.7605354101542759</v>
      </c>
      <c r="K31" s="12">
        <f>('Cashflow'!D31+'Cashflow'!F31-'Cashflow'!C31)/'Cashflow'!C31</f>
        <v>-0.703465982028241</v>
      </c>
    </row>
    <row r="32" ht="20.05" customHeight="1">
      <c r="B32" s="36">
        <v>2022</v>
      </c>
      <c r="C32" s="16"/>
      <c r="D32" s="35">
        <f>'Model'!C6</f>
        <v>80.666</v>
      </c>
      <c r="E32" s="21"/>
      <c r="F32" s="25"/>
      <c r="G32" s="12"/>
      <c r="H32" s="12"/>
      <c r="I32" s="12"/>
      <c r="J32" s="12">
        <f>'Model'!C7</f>
        <v>-0.734231274638633</v>
      </c>
      <c r="K32" s="12"/>
    </row>
    <row r="33" ht="20.05" customHeight="1">
      <c r="B33" s="33"/>
      <c r="C33" s="16"/>
      <c r="D33" s="35">
        <f>'Model'!D6</f>
        <v>79.85934</v>
      </c>
      <c r="E33" s="21"/>
      <c r="F33" s="25"/>
      <c r="G33" s="12"/>
      <c r="H33" s="12"/>
      <c r="I33" s="12"/>
      <c r="J33" s="12"/>
      <c r="K33" s="12"/>
    </row>
    <row r="34" ht="20.05" customHeight="1">
      <c r="B34" s="33"/>
      <c r="C34" s="16"/>
      <c r="D34" s="35">
        <f>'Model'!E6</f>
        <v>85.4494938</v>
      </c>
      <c r="E34" s="21"/>
      <c r="F34" s="25"/>
      <c r="G34" s="12"/>
      <c r="H34" s="12"/>
      <c r="I34" s="12"/>
      <c r="J34" s="12"/>
      <c r="K34" s="12"/>
    </row>
    <row r="35" ht="20.05" customHeight="1">
      <c r="B35" s="33"/>
      <c r="C35" s="16"/>
      <c r="D35" s="35">
        <f>'Model'!F6</f>
        <v>89.72196848999999</v>
      </c>
      <c r="E35" s="21"/>
      <c r="F35" s="25"/>
      <c r="G35" s="12"/>
      <c r="H35" s="12"/>
      <c r="I35" s="12"/>
      <c r="J35" s="12"/>
      <c r="K35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96875" style="37" customWidth="1"/>
    <col min="2" max="2" width="8.83594" style="37" customWidth="1"/>
    <col min="3" max="10" width="9.76562" style="37" customWidth="1"/>
    <col min="11" max="14" width="11.6328" style="37" customWidth="1"/>
    <col min="15" max="16384" width="16.3516" style="37" customWidth="1"/>
  </cols>
  <sheetData>
    <row r="1" ht="33.1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8.9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11</v>
      </c>
      <c r="H3" t="s" s="5">
        <v>50</v>
      </c>
      <c r="I3" t="s" s="5">
        <v>10</v>
      </c>
      <c r="J3" t="s" s="5">
        <v>51</v>
      </c>
      <c r="K3" t="s" s="5">
        <v>33</v>
      </c>
      <c r="L3" t="s" s="5">
        <v>35</v>
      </c>
      <c r="M3" t="s" s="5">
        <v>29</v>
      </c>
      <c r="N3" t="s" s="5">
        <v>35</v>
      </c>
    </row>
    <row r="4" ht="20.25" customHeight="1">
      <c r="B4" s="28">
        <v>2015</v>
      </c>
      <c r="C4" s="38"/>
      <c r="D4" s="39">
        <v>1.9</v>
      </c>
      <c r="E4" s="39">
        <v>-16</v>
      </c>
      <c r="F4" s="39"/>
      <c r="G4" s="39"/>
      <c r="H4" s="39"/>
      <c r="I4" s="39">
        <v>15</v>
      </c>
      <c r="J4" s="39">
        <f>D4+E4+F4</f>
        <v>-14.1</v>
      </c>
      <c r="K4" s="39"/>
      <c r="L4" s="39"/>
      <c r="M4" s="39">
        <f>-I4</f>
        <v>-15</v>
      </c>
      <c r="N4" s="39"/>
    </row>
    <row r="5" ht="20.05" customHeight="1">
      <c r="B5" s="33"/>
      <c r="C5" s="40"/>
      <c r="D5" s="17">
        <v>9.9</v>
      </c>
      <c r="E5" s="17">
        <v>-18</v>
      </c>
      <c r="F5" s="17"/>
      <c r="G5" s="17"/>
      <c r="H5" s="17"/>
      <c r="I5" s="17">
        <v>15</v>
      </c>
      <c r="J5" s="17">
        <f>D5+E5+F5</f>
        <v>-8.1</v>
      </c>
      <c r="K5" s="17"/>
      <c r="L5" s="17"/>
      <c r="M5" s="17">
        <f>-I5+M4</f>
        <v>-30</v>
      </c>
      <c r="N5" s="17"/>
    </row>
    <row r="6" ht="20.05" customHeight="1">
      <c r="B6" s="33"/>
      <c r="C6" s="40"/>
      <c r="D6" s="17">
        <v>-4.2</v>
      </c>
      <c r="E6" s="17">
        <v>-13</v>
      </c>
      <c r="F6" s="17"/>
      <c r="G6" s="17"/>
      <c r="H6" s="17"/>
      <c r="I6" s="17">
        <v>10</v>
      </c>
      <c r="J6" s="17">
        <f>D6+E6+F6</f>
        <v>-17.2</v>
      </c>
      <c r="K6" s="17"/>
      <c r="L6" s="17"/>
      <c r="M6" s="17">
        <f>-I6+M5</f>
        <v>-40</v>
      </c>
      <c r="N6" s="17"/>
    </row>
    <row r="7" ht="20.05" customHeight="1">
      <c r="B7" s="33"/>
      <c r="C7" s="40"/>
      <c r="D7" s="17">
        <v>-8.1</v>
      </c>
      <c r="E7" s="17">
        <v>-16</v>
      </c>
      <c r="F7" s="17"/>
      <c r="G7" s="17"/>
      <c r="H7" s="17"/>
      <c r="I7" s="17">
        <v>11</v>
      </c>
      <c r="J7" s="17">
        <f>D7+E7+F7</f>
        <v>-24.1</v>
      </c>
      <c r="K7" s="17"/>
      <c r="L7" s="17"/>
      <c r="M7" s="17">
        <f>-I7+M6</f>
        <v>-51</v>
      </c>
      <c r="N7" s="17"/>
    </row>
    <row r="8" ht="20.05" customHeight="1">
      <c r="B8" s="36">
        <v>2016</v>
      </c>
      <c r="C8" s="40"/>
      <c r="D8" s="17">
        <v>-1.1</v>
      </c>
      <c r="E8" s="17">
        <v>-14</v>
      </c>
      <c r="F8" s="17"/>
      <c r="G8" s="17"/>
      <c r="H8" s="17"/>
      <c r="I8" s="17">
        <v>17</v>
      </c>
      <c r="J8" s="17">
        <f>D8+E8+F8</f>
        <v>-15.1</v>
      </c>
      <c r="K8" s="17">
        <f>AVERAGE(J5:J8)</f>
        <v>-16.125</v>
      </c>
      <c r="L8" s="17"/>
      <c r="M8" s="17">
        <f>-I8+M7</f>
        <v>-68</v>
      </c>
      <c r="N8" s="17"/>
    </row>
    <row r="9" ht="20.05" customHeight="1">
      <c r="B9" s="33"/>
      <c r="C9" s="40"/>
      <c r="D9" s="17">
        <v>-0.909</v>
      </c>
      <c r="E9" s="17">
        <v>-14</v>
      </c>
      <c r="F9" s="17"/>
      <c r="G9" s="17"/>
      <c r="H9" s="17"/>
      <c r="I9" s="17">
        <v>12</v>
      </c>
      <c r="J9" s="17">
        <f>D9+E9+F9</f>
        <v>-14.909</v>
      </c>
      <c r="K9" s="17">
        <f>AVERAGE(J6:J9)</f>
        <v>-17.82725</v>
      </c>
      <c r="L9" s="17"/>
      <c r="M9" s="17">
        <f>-I9+M8</f>
        <v>-80</v>
      </c>
      <c r="N9" s="17"/>
    </row>
    <row r="10" ht="20.05" customHeight="1">
      <c r="B10" s="33"/>
      <c r="C10" s="40"/>
      <c r="D10" s="17">
        <v>18.709</v>
      </c>
      <c r="E10" s="17">
        <v>-16</v>
      </c>
      <c r="F10" s="17"/>
      <c r="G10" s="17"/>
      <c r="H10" s="17"/>
      <c r="I10" s="17">
        <v>1</v>
      </c>
      <c r="J10" s="17">
        <f>D10+E10+F10</f>
        <v>2.709</v>
      </c>
      <c r="K10" s="17">
        <f>AVERAGE(J7:J10)</f>
        <v>-12.85</v>
      </c>
      <c r="L10" s="17"/>
      <c r="M10" s="17">
        <f>-I10+M9</f>
        <v>-81</v>
      </c>
      <c r="N10" s="17"/>
    </row>
    <row r="11" ht="20.05" customHeight="1">
      <c r="B11" s="33"/>
      <c r="C11" s="40"/>
      <c r="D11" s="17">
        <v>3.7</v>
      </c>
      <c r="E11" s="17">
        <v>-6</v>
      </c>
      <c r="F11" s="17"/>
      <c r="G11" s="17"/>
      <c r="H11" s="17"/>
      <c r="I11" s="17">
        <v>-3</v>
      </c>
      <c r="J11" s="17">
        <f>D11+E11+F11</f>
        <v>-2.3</v>
      </c>
      <c r="K11" s="17">
        <f>AVERAGE(J8:J11)</f>
        <v>-7.4</v>
      </c>
      <c r="L11" s="17"/>
      <c r="M11" s="17">
        <f>-I11+M10</f>
        <v>-78</v>
      </c>
      <c r="N11" s="17"/>
    </row>
    <row r="12" ht="20.05" customHeight="1">
      <c r="B12" s="36">
        <v>2017</v>
      </c>
      <c r="C12" s="40">
        <v>34.4</v>
      </c>
      <c r="D12" s="17">
        <v>9</v>
      </c>
      <c r="E12" s="17">
        <v>32</v>
      </c>
      <c r="F12" s="17"/>
      <c r="G12" s="17"/>
      <c r="H12" s="17"/>
      <c r="I12" s="17">
        <v>-7</v>
      </c>
      <c r="J12" s="17">
        <f>D12+E12+F12</f>
        <v>41</v>
      </c>
      <c r="K12" s="17">
        <f>AVERAGE(J9:J12)</f>
        <v>6.625</v>
      </c>
      <c r="L12" s="17"/>
      <c r="M12" s="17">
        <f>-I12+M11</f>
        <v>-71</v>
      </c>
      <c r="N12" s="17"/>
    </row>
    <row r="13" ht="20.05" customHeight="1">
      <c r="B13" s="33"/>
      <c r="C13" s="40">
        <f>66-C12</f>
        <v>31.6</v>
      </c>
      <c r="D13" s="17">
        <v>0.1</v>
      </c>
      <c r="E13" s="17">
        <v>-12</v>
      </c>
      <c r="F13" s="17"/>
      <c r="G13" s="17"/>
      <c r="H13" s="17"/>
      <c r="I13" s="17">
        <v>3</v>
      </c>
      <c r="J13" s="17">
        <f>D13+E13+F13</f>
        <v>-11.9</v>
      </c>
      <c r="K13" s="17">
        <f>AVERAGE(J10:J13)</f>
        <v>7.37725</v>
      </c>
      <c r="L13" s="17"/>
      <c r="M13" s="17">
        <f>-I13+M12</f>
        <v>-74</v>
      </c>
      <c r="N13" s="17"/>
    </row>
    <row r="14" ht="20.05" customHeight="1">
      <c r="B14" s="33"/>
      <c r="C14" s="40">
        <f>108.8-C13-C12</f>
        <v>42.8</v>
      </c>
      <c r="D14" s="17">
        <v>8.6</v>
      </c>
      <c r="E14" s="17">
        <v>16</v>
      </c>
      <c r="F14" s="17"/>
      <c r="G14" s="17"/>
      <c r="H14" s="17"/>
      <c r="I14" s="17">
        <v>3</v>
      </c>
      <c r="J14" s="17">
        <f>D14+E14+F14</f>
        <v>24.6</v>
      </c>
      <c r="K14" s="17">
        <f>AVERAGE(J11:J14)</f>
        <v>12.85</v>
      </c>
      <c r="L14" s="17"/>
      <c r="M14" s="17">
        <f>-I14+M13</f>
        <v>-77</v>
      </c>
      <c r="N14" s="17"/>
    </row>
    <row r="15" ht="20.05" customHeight="1">
      <c r="B15" s="33"/>
      <c r="C15" s="40">
        <f>145.8-C14-C13-C12</f>
        <v>37</v>
      </c>
      <c r="D15" s="17">
        <v>-7.4</v>
      </c>
      <c r="E15" s="17">
        <v>-14</v>
      </c>
      <c r="F15" s="17"/>
      <c r="G15" s="17"/>
      <c r="H15" s="17"/>
      <c r="I15" s="17">
        <v>-5</v>
      </c>
      <c r="J15" s="17">
        <f>D15+E15+F15</f>
        <v>-21.4</v>
      </c>
      <c r="K15" s="17">
        <f>AVERAGE(J12:J15)</f>
        <v>8.074999999999999</v>
      </c>
      <c r="L15" s="17"/>
      <c r="M15" s="17">
        <f>-I15+M14</f>
        <v>-72</v>
      </c>
      <c r="N15" s="17"/>
    </row>
    <row r="16" ht="20.05" customHeight="1">
      <c r="B16" s="36">
        <v>2018</v>
      </c>
      <c r="C16" s="40">
        <v>35.5</v>
      </c>
      <c r="D16" s="17">
        <v>2.4</v>
      </c>
      <c r="E16" s="17">
        <v>-8.1</v>
      </c>
      <c r="F16" s="17"/>
      <c r="G16" s="17"/>
      <c r="H16" s="17"/>
      <c r="I16" s="17">
        <v>13</v>
      </c>
      <c r="J16" s="17">
        <f>D16+E16+F16</f>
        <v>-5.7</v>
      </c>
      <c r="K16" s="17">
        <f>AVERAGE(J13:J16)</f>
        <v>-3.6</v>
      </c>
      <c r="L16" s="17"/>
      <c r="M16" s="17">
        <f>-I16+M15</f>
        <v>-85</v>
      </c>
      <c r="N16" s="17"/>
    </row>
    <row r="17" ht="20.05" customHeight="1">
      <c r="B17" s="33"/>
      <c r="C17" s="16">
        <f>67.1-C16</f>
        <v>31.6</v>
      </c>
      <c r="D17" s="17">
        <v>-15.6</v>
      </c>
      <c r="E17" s="17">
        <v>-23.1</v>
      </c>
      <c r="F17" s="17"/>
      <c r="G17" s="17"/>
      <c r="H17" s="17"/>
      <c r="I17" s="17">
        <v>14.3</v>
      </c>
      <c r="J17" s="17">
        <f>D17+E17+F17</f>
        <v>-38.7</v>
      </c>
      <c r="K17" s="17">
        <f>AVERAGE(J14:J17)</f>
        <v>-10.3</v>
      </c>
      <c r="L17" s="17"/>
      <c r="M17" s="17">
        <f>-I17+M16</f>
        <v>-99.3</v>
      </c>
      <c r="N17" s="17"/>
    </row>
    <row r="18" ht="20.05" customHeight="1">
      <c r="B18" s="33"/>
      <c r="C18" s="16">
        <v>38.4</v>
      </c>
      <c r="D18" s="17">
        <v>6.8</v>
      </c>
      <c r="E18" s="17">
        <v>-22.9</v>
      </c>
      <c r="F18" s="17"/>
      <c r="G18" s="17"/>
      <c r="H18" s="17"/>
      <c r="I18" s="17">
        <v>18.8</v>
      </c>
      <c r="J18" s="17">
        <f>D18+E18+F18</f>
        <v>-16.1</v>
      </c>
      <c r="K18" s="17">
        <f>AVERAGE(J15:J18)</f>
        <v>-20.475</v>
      </c>
      <c r="L18" s="17"/>
      <c r="M18" s="17">
        <f>-I18+M17</f>
        <v>-118.1</v>
      </c>
      <c r="N18" s="17"/>
    </row>
    <row r="19" ht="20.05" customHeight="1">
      <c r="B19" s="33"/>
      <c r="C19" s="16">
        <v>39.5</v>
      </c>
      <c r="D19" s="17">
        <v>-1.6</v>
      </c>
      <c r="E19" s="17">
        <v>-15.9</v>
      </c>
      <c r="F19" s="17"/>
      <c r="G19" s="17"/>
      <c r="H19" s="17"/>
      <c r="I19" s="17">
        <v>13.9</v>
      </c>
      <c r="J19" s="17">
        <f>D19+E19+F19</f>
        <v>-17.5</v>
      </c>
      <c r="K19" s="17">
        <f>AVERAGE(J16:J19)</f>
        <v>-19.5</v>
      </c>
      <c r="L19" s="17"/>
      <c r="M19" s="17">
        <f>-I19+M18</f>
        <v>-132</v>
      </c>
      <c r="N19" s="17"/>
    </row>
    <row r="20" ht="20.05" customHeight="1">
      <c r="B20" s="36">
        <v>2019</v>
      </c>
      <c r="C20" s="16">
        <v>30.6</v>
      </c>
      <c r="D20" s="17">
        <v>6.3</v>
      </c>
      <c r="E20" s="17">
        <v>-7</v>
      </c>
      <c r="F20" s="17">
        <v>-1</v>
      </c>
      <c r="G20" s="17"/>
      <c r="H20" s="17"/>
      <c r="I20" s="17">
        <v>5</v>
      </c>
      <c r="J20" s="17">
        <f>D20+E20+F20</f>
        <v>-1.7</v>
      </c>
      <c r="K20" s="17">
        <f>AVERAGE(J17:J20)</f>
        <v>-18.5</v>
      </c>
      <c r="L20" s="17"/>
      <c r="M20" s="17">
        <f>-(I20-F20)+M19</f>
        <v>-138</v>
      </c>
      <c r="N20" s="17"/>
    </row>
    <row r="21" ht="20.05" customHeight="1">
      <c r="B21" s="33"/>
      <c r="C21" s="16">
        <v>31.7</v>
      </c>
      <c r="D21" s="17">
        <v>0.4</v>
      </c>
      <c r="E21" s="17">
        <v>-26.5</v>
      </c>
      <c r="F21" s="17">
        <v>-0.8</v>
      </c>
      <c r="G21" s="17"/>
      <c r="H21" s="17"/>
      <c r="I21" s="17">
        <v>8.5</v>
      </c>
      <c r="J21" s="17">
        <f>D21+E21+F21</f>
        <v>-26.9</v>
      </c>
      <c r="K21" s="17">
        <f>AVERAGE(J18:J21)</f>
        <v>-15.55</v>
      </c>
      <c r="L21" s="17"/>
      <c r="M21" s="17">
        <f>-(I21-F21)+M20</f>
        <v>-147.3</v>
      </c>
      <c r="N21" s="17"/>
    </row>
    <row r="22" ht="20.05" customHeight="1">
      <c r="B22" s="33"/>
      <c r="C22" s="16">
        <v>36.9</v>
      </c>
      <c r="D22" s="17">
        <v>6.7</v>
      </c>
      <c r="E22" s="17">
        <v>16.45</v>
      </c>
      <c r="F22" s="17">
        <v>-0.5</v>
      </c>
      <c r="G22" s="17"/>
      <c r="H22" s="17"/>
      <c r="I22" s="17">
        <v>2.631</v>
      </c>
      <c r="J22" s="17">
        <f>D22+E22+F22</f>
        <v>22.65</v>
      </c>
      <c r="K22" s="17">
        <f>AVERAGE(J19:J22)</f>
        <v>-5.8625</v>
      </c>
      <c r="L22" s="17"/>
      <c r="M22" s="17">
        <f>-(I22-F22)+M21</f>
        <v>-150.431</v>
      </c>
      <c r="N22" s="17"/>
    </row>
    <row r="23" ht="20.05" customHeight="1">
      <c r="B23" s="33"/>
      <c r="C23" s="16">
        <v>34.8</v>
      </c>
      <c r="D23" s="17">
        <v>-4.7</v>
      </c>
      <c r="E23" s="17">
        <v>-13.55</v>
      </c>
      <c r="F23" s="17">
        <v>-0.4</v>
      </c>
      <c r="G23" s="17"/>
      <c r="H23" s="17"/>
      <c r="I23" s="17">
        <v>-5.031</v>
      </c>
      <c r="J23" s="17">
        <f>D23+E23+F23</f>
        <v>-18.65</v>
      </c>
      <c r="K23" s="17">
        <f>AVERAGE(J20:J23)</f>
        <v>-6.15</v>
      </c>
      <c r="L23" s="17"/>
      <c r="M23" s="17">
        <f>-(I23-F23)+M22</f>
        <v>-145.8</v>
      </c>
      <c r="N23" s="17"/>
    </row>
    <row r="24" ht="20.05" customHeight="1">
      <c r="B24" s="36">
        <v>2020</v>
      </c>
      <c r="C24" s="16">
        <v>38.8</v>
      </c>
      <c r="D24" s="17">
        <v>2.7</v>
      </c>
      <c r="E24" s="17">
        <v>-11.3</v>
      </c>
      <c r="F24" s="17">
        <v>-1.2</v>
      </c>
      <c r="G24" s="17"/>
      <c r="H24" s="17"/>
      <c r="I24" s="17">
        <v>14.2</v>
      </c>
      <c r="J24" s="17">
        <f>D24+E24+F24</f>
        <v>-9.800000000000001</v>
      </c>
      <c r="K24" s="17">
        <f>AVERAGE(J21:J24)</f>
        <v>-8.175000000000001</v>
      </c>
      <c r="L24" s="17"/>
      <c r="M24" s="17">
        <f>-(I24-F24)+M23</f>
        <v>-161.2</v>
      </c>
      <c r="N24" s="17"/>
    </row>
    <row r="25" ht="20.05" customHeight="1">
      <c r="B25" s="33"/>
      <c r="C25" s="16">
        <v>37.4</v>
      </c>
      <c r="D25" s="17">
        <v>7</v>
      </c>
      <c r="E25" s="17">
        <v>-7.94</v>
      </c>
      <c r="F25" s="17">
        <v>-0.7</v>
      </c>
      <c r="G25" s="17"/>
      <c r="H25" s="17"/>
      <c r="I25" s="17">
        <v>-0.9</v>
      </c>
      <c r="J25" s="17">
        <f>D25+E25+F25</f>
        <v>-1.64</v>
      </c>
      <c r="K25" s="17">
        <f>AVERAGE(J22:J25)</f>
        <v>-1.86</v>
      </c>
      <c r="L25" s="17"/>
      <c r="M25" s="17">
        <f>-(I25-F25)+M24</f>
        <v>-161</v>
      </c>
      <c r="N25" s="17"/>
    </row>
    <row r="26" ht="20.05" customHeight="1">
      <c r="B26" s="33"/>
      <c r="C26" s="16">
        <f>121.9-SUM(C24:C25)</f>
        <v>45.7</v>
      </c>
      <c r="D26" s="17">
        <v>17.6</v>
      </c>
      <c r="E26" s="17">
        <f>-37.9-SUM(E24:E25)</f>
        <v>-18.66</v>
      </c>
      <c r="F26" s="17">
        <v>-0.6</v>
      </c>
      <c r="G26" s="17"/>
      <c r="H26" s="17"/>
      <c r="I26" s="17">
        <f>11.6+2.5-SUM(I24:I25)</f>
        <v>0.8</v>
      </c>
      <c r="J26" s="17">
        <f>D26+E26+F26</f>
        <v>-1.66</v>
      </c>
      <c r="K26" s="17">
        <f>AVERAGE(J23:J26)</f>
        <v>-7.9375</v>
      </c>
      <c r="L26" s="17"/>
      <c r="M26" s="17">
        <f>-(I26-F26)+M25</f>
        <v>-162.4</v>
      </c>
      <c r="N26" s="17"/>
    </row>
    <row r="27" ht="20.05" customHeight="1">
      <c r="B27" s="33"/>
      <c r="C27" s="16">
        <v>46.1</v>
      </c>
      <c r="D27" s="17">
        <v>7.7</v>
      </c>
      <c r="E27" s="17">
        <v>-12.8</v>
      </c>
      <c r="F27" s="17">
        <v>-1</v>
      </c>
      <c r="G27" s="17"/>
      <c r="H27" s="17"/>
      <c r="I27" s="17">
        <v>-1</v>
      </c>
      <c r="J27" s="17">
        <f>D27+E27+F27</f>
        <v>-6.1</v>
      </c>
      <c r="K27" s="17">
        <f>AVERAGE(J24:J27)</f>
        <v>-4.8</v>
      </c>
      <c r="L27" s="17"/>
      <c r="M27" s="17">
        <f>-(I27-F27)+M26</f>
        <v>-162.4</v>
      </c>
      <c r="N27" s="17"/>
    </row>
    <row r="28" ht="20.05" customHeight="1">
      <c r="B28" s="36">
        <v>2021</v>
      </c>
      <c r="C28" s="16">
        <v>59.8</v>
      </c>
      <c r="D28" s="17">
        <v>17.3</v>
      </c>
      <c r="E28" s="17">
        <v>-9.1</v>
      </c>
      <c r="F28" s="17">
        <v>-1</v>
      </c>
      <c r="G28" s="17">
        <f>1.5-F28</f>
        <v>2.5</v>
      </c>
      <c r="H28" s="17"/>
      <c r="I28" s="17">
        <f>1.5</f>
        <v>1.5</v>
      </c>
      <c r="J28" s="17">
        <f>D28+E28+F28</f>
        <v>7.2</v>
      </c>
      <c r="K28" s="17">
        <f>AVERAGE(J25:J28)</f>
        <v>-0.55</v>
      </c>
      <c r="L28" s="17"/>
      <c r="M28" s="17">
        <f>-(I28-F28)+M27</f>
        <v>-164.9</v>
      </c>
      <c r="N28" s="17"/>
    </row>
    <row r="29" ht="20.05" customHeight="1">
      <c r="B29" s="33"/>
      <c r="C29" s="16">
        <f>124.4-C28</f>
        <v>64.59999999999999</v>
      </c>
      <c r="D29" s="17">
        <f>38.5-D28</f>
        <v>21.2</v>
      </c>
      <c r="E29" s="17">
        <f>-20.1-E28</f>
        <v>-11</v>
      </c>
      <c r="F29" s="17">
        <f>-2.5-F28</f>
        <v>-1.5</v>
      </c>
      <c r="G29" s="17">
        <f>-11.9-F29-F28-G28</f>
        <v>-11.9</v>
      </c>
      <c r="H29" s="17"/>
      <c r="I29" s="17">
        <f>-11.9-I28</f>
        <v>-13.4</v>
      </c>
      <c r="J29" s="17">
        <f>D29+E29+F29</f>
        <v>8.699999999999999</v>
      </c>
      <c r="K29" s="17">
        <f>AVERAGE(J26:J29)</f>
        <v>2.035</v>
      </c>
      <c r="L29" s="17"/>
      <c r="M29" s="17">
        <f>-(I29-F29)+M28</f>
        <v>-153</v>
      </c>
      <c r="N29" s="17"/>
    </row>
    <row r="30" ht="20.05" customHeight="1">
      <c r="B30" s="33"/>
      <c r="C30" s="16">
        <f>193.1-SUM(C28:C29)</f>
        <v>68.7</v>
      </c>
      <c r="D30" s="17">
        <f>61.7-SUM(D28:D29)</f>
        <v>23.2</v>
      </c>
      <c r="E30" s="17">
        <f>-29.4-SUM(E28:E29)</f>
        <v>-9.300000000000001</v>
      </c>
      <c r="F30" s="17">
        <f>-3.5-SUM(F28:F29)</f>
        <v>-1</v>
      </c>
      <c r="G30" s="17">
        <f>-23.8-F30-F29-F28-G29-G28-H30</f>
        <v>-10</v>
      </c>
      <c r="H30" s="17">
        <v>-0.9</v>
      </c>
      <c r="I30" s="17">
        <f>-23.8-SUM(I28:I29)</f>
        <v>-11.9</v>
      </c>
      <c r="J30" s="17">
        <f>D30+E30+F30</f>
        <v>12.9</v>
      </c>
      <c r="K30" s="17">
        <f>AVERAGE(J27:J30)</f>
        <v>5.675</v>
      </c>
      <c r="L30" s="17"/>
      <c r="M30" s="17">
        <f>-(I30-F30)+M29</f>
        <v>-142.1</v>
      </c>
      <c r="N30" s="17"/>
    </row>
    <row r="31" ht="20.05" customHeight="1">
      <c r="B31" s="33"/>
      <c r="C31" s="16">
        <f>271-C30-C29-C28</f>
        <v>77.90000000000001</v>
      </c>
      <c r="D31" s="17">
        <f>85.8-D30-D29-D28</f>
        <v>24.1</v>
      </c>
      <c r="E31" s="17">
        <f>-42.9-E30-E29-E28</f>
        <v>-13.5</v>
      </c>
      <c r="F31" s="17">
        <f>-4.5-F30-F29-F28</f>
        <v>-1</v>
      </c>
      <c r="G31" s="17">
        <f>I31-H31-F31</f>
        <v>-7</v>
      </c>
      <c r="H31" s="17">
        <f>0.2-0.9-H30</f>
        <v>0.2</v>
      </c>
      <c r="I31" s="17">
        <f>-31.6-I30-I29-I28</f>
        <v>-7.8</v>
      </c>
      <c r="J31" s="17">
        <f>D31+E31+F31</f>
        <v>9.6</v>
      </c>
      <c r="K31" s="17">
        <f>AVERAGE(J28:J31)</f>
        <v>9.6</v>
      </c>
      <c r="L31" s="17">
        <f>K31</f>
        <v>9.6</v>
      </c>
      <c r="M31" s="17">
        <f>-(I31-F31)+M30</f>
        <v>-135.3</v>
      </c>
      <c r="N31" s="17">
        <f>M31</f>
        <v>-135.3</v>
      </c>
    </row>
    <row r="32" ht="20.05" customHeight="1">
      <c r="B32" s="36">
        <v>2025</v>
      </c>
      <c r="C32" s="16"/>
      <c r="D32" s="17"/>
      <c r="E32" s="17"/>
      <c r="F32" s="17"/>
      <c r="G32" s="17"/>
      <c r="H32" s="17"/>
      <c r="I32" s="17"/>
      <c r="J32" s="17"/>
      <c r="K32" s="22"/>
      <c r="L32" s="17">
        <f>SUM('Model'!F9:F10)</f>
        <v>13.1202932025</v>
      </c>
      <c r="M32" s="22"/>
      <c r="N32" s="17">
        <f>'Model'!F33</f>
        <v>-88.98228874749999</v>
      </c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8672" style="41" customWidth="1"/>
    <col min="2" max="2" width="8.61719" style="41" customWidth="1"/>
    <col min="3" max="11" width="9.98438" style="41" customWidth="1"/>
    <col min="12" max="16384" width="16.3516" style="41" customWidth="1"/>
  </cols>
  <sheetData>
    <row r="1" ht="8.1" customHeight="1"/>
    <row r="2" ht="27.65" customHeight="1">
      <c r="B2" t="s" s="2">
        <v>52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55</v>
      </c>
      <c r="F3" t="s" s="5">
        <v>23</v>
      </c>
      <c r="G3" t="s" s="5">
        <v>11</v>
      </c>
      <c r="H3" t="s" s="5">
        <v>50</v>
      </c>
      <c r="I3" t="s" s="5">
        <v>25</v>
      </c>
      <c r="J3" t="s" s="5">
        <v>56</v>
      </c>
      <c r="K3" t="s" s="5">
        <v>35</v>
      </c>
    </row>
    <row r="4" ht="20.25" customHeight="1">
      <c r="B4" s="28">
        <v>2015</v>
      </c>
      <c r="C4" s="42">
        <v>30.716013</v>
      </c>
      <c r="D4" s="39">
        <v>450.025863</v>
      </c>
      <c r="E4" s="39">
        <f>D4-C4</f>
        <v>419.30985</v>
      </c>
      <c r="F4" s="39">
        <f>93.02+64.27</f>
        <v>157.29</v>
      </c>
      <c r="G4" s="39">
        <v>77.59999999999999</v>
      </c>
      <c r="H4" s="39">
        <v>372.5</v>
      </c>
      <c r="I4" s="39">
        <f>G4+H4-C4-E4</f>
        <v>0.07413699999999999</v>
      </c>
      <c r="J4" s="39">
        <f>C4-G4</f>
        <v>-46.883987</v>
      </c>
      <c r="K4" s="39"/>
    </row>
    <row r="5" ht="20.05" customHeight="1">
      <c r="B5" s="33"/>
      <c r="C5" s="16">
        <v>35.961822</v>
      </c>
      <c r="D5" s="17">
        <v>469.554927</v>
      </c>
      <c r="E5" s="17">
        <f>D5-C5</f>
        <v>433.593105</v>
      </c>
      <c r="F5" s="17">
        <f>95.13+66.08</f>
        <v>161.21</v>
      </c>
      <c r="G5" s="17">
        <v>118.4</v>
      </c>
      <c r="H5" s="17">
        <v>351.1</v>
      </c>
      <c r="I5" s="17">
        <f>G5+H5-C5-E5</f>
        <v>-0.054927</v>
      </c>
      <c r="J5" s="17">
        <f>C5-G5</f>
        <v>-82.43817799999999</v>
      </c>
      <c r="K5" s="17"/>
    </row>
    <row r="6" ht="20.05" customHeight="1">
      <c r="B6" s="33"/>
      <c r="C6" s="16">
        <v>30.980403</v>
      </c>
      <c r="D6" s="17">
        <v>463.543532</v>
      </c>
      <c r="E6" s="17">
        <f>D6-C6</f>
        <v>432.563129</v>
      </c>
      <c r="F6" s="17">
        <f>96.9+66.77</f>
        <v>163.67</v>
      </c>
      <c r="G6" s="17">
        <v>127.3</v>
      </c>
      <c r="H6" s="17">
        <v>336.2</v>
      </c>
      <c r="I6" s="17">
        <f>G6+H6-C6-E6</f>
        <v>-0.043532</v>
      </c>
      <c r="J6" s="17">
        <f>C6-G6</f>
        <v>-96.319597</v>
      </c>
      <c r="K6" s="17"/>
    </row>
    <row r="7" ht="20.05" customHeight="1">
      <c r="B7" s="33"/>
      <c r="C7" s="16">
        <v>19.104326</v>
      </c>
      <c r="D7" s="17">
        <v>470.44402</v>
      </c>
      <c r="E7" s="17">
        <f>D7-C7</f>
        <v>451.339694</v>
      </c>
      <c r="F7" s="17">
        <f>105.574928</f>
        <v>105.574928</v>
      </c>
      <c r="G7" s="17">
        <v>130</v>
      </c>
      <c r="H7" s="17">
        <v>340.4</v>
      </c>
      <c r="I7" s="17">
        <f>G7+H7-C7-E7</f>
        <v>-0.04402</v>
      </c>
      <c r="J7" s="17">
        <f>C7-G7</f>
        <v>-110.895674</v>
      </c>
      <c r="K7" s="17"/>
    </row>
    <row r="8" ht="20.05" customHeight="1">
      <c r="B8" s="36">
        <v>2016</v>
      </c>
      <c r="C8" s="16">
        <v>17.753899</v>
      </c>
      <c r="D8" s="17">
        <v>491.817232</v>
      </c>
      <c r="E8" s="17">
        <f>D8-C8</f>
        <v>474.063333</v>
      </c>
      <c r="F8" s="17">
        <f>100.32+72.17</f>
        <v>172.49</v>
      </c>
      <c r="G8" s="17">
        <v>150.7</v>
      </c>
      <c r="H8" s="17">
        <v>341.1</v>
      </c>
      <c r="I8" s="17">
        <f>G8+H8-C8-E8</f>
        <v>-0.017232</v>
      </c>
      <c r="J8" s="17">
        <f>C8-G8</f>
        <v>-132.946101</v>
      </c>
      <c r="K8" s="17"/>
    </row>
    <row r="9" ht="20.05" customHeight="1">
      <c r="B9" s="33"/>
      <c r="C9" s="16">
        <v>17.902741</v>
      </c>
      <c r="D9" s="17">
        <v>511.716919</v>
      </c>
      <c r="E9" s="17">
        <f>D9-C9</f>
        <v>493.814178</v>
      </c>
      <c r="F9" s="17">
        <f>102.247037+74.13345+0.024227</f>
        <v>176.404714</v>
      </c>
      <c r="G9" s="17">
        <v>174.8</v>
      </c>
      <c r="H9" s="17">
        <v>336.9</v>
      </c>
      <c r="I9" s="17">
        <f>G9+H9-C9-E9</f>
        <v>-0.016919</v>
      </c>
      <c r="J9" s="17">
        <f>C9-G9</f>
        <v>-156.897259</v>
      </c>
      <c r="K9" s="17"/>
    </row>
    <row r="10" ht="20.05" customHeight="1">
      <c r="B10" s="33"/>
      <c r="C10" s="16">
        <v>21.836315</v>
      </c>
      <c r="D10" s="17">
        <v>528.9066330000001</v>
      </c>
      <c r="E10" s="17">
        <f>D10-C10</f>
        <v>507.070318</v>
      </c>
      <c r="F10" s="17">
        <f>104.096794+75.641479+0.024522</f>
        <v>179.762795</v>
      </c>
      <c r="G10" s="17">
        <v>175.8</v>
      </c>
      <c r="H10" s="17">
        <v>353</v>
      </c>
      <c r="I10" s="17">
        <f>G10+H10-C10-E10</f>
        <v>-0.106633</v>
      </c>
      <c r="J10" s="17">
        <f>C10-G10</f>
        <v>-153.963685</v>
      </c>
      <c r="K10" s="17"/>
    </row>
    <row r="11" ht="20.05" customHeight="1">
      <c r="B11" s="33"/>
      <c r="C11" s="16">
        <v>16.882293</v>
      </c>
      <c r="D11" s="17">
        <v>536.1051189999999</v>
      </c>
      <c r="E11" s="17">
        <f>D11-C11</f>
        <v>519.2228260000001</v>
      </c>
      <c r="F11" s="17">
        <f>105.574928+67.453727+0.006448+0</f>
        <v>173.035103</v>
      </c>
      <c r="G11" s="17">
        <v>170.4</v>
      </c>
      <c r="H11" s="17">
        <v>354.6</v>
      </c>
      <c r="I11" s="17">
        <f>G11+H11-C11-E11</f>
        <v>-11.105119</v>
      </c>
      <c r="J11" s="17">
        <f>C11-G11</f>
        <v>-153.517707</v>
      </c>
      <c r="K11" s="17"/>
    </row>
    <row r="12" ht="20.05" customHeight="1">
      <c r="B12" s="36">
        <v>2017</v>
      </c>
      <c r="C12" s="16">
        <v>51.9762</v>
      </c>
      <c r="D12" s="17">
        <v>565.524118</v>
      </c>
      <c r="E12" s="17">
        <f>D12-C12</f>
        <v>513.547918</v>
      </c>
      <c r="F12" s="17">
        <f>0.025104+79.830012+107.460004</f>
        <v>187.31512</v>
      </c>
      <c r="G12" s="17">
        <v>190.3</v>
      </c>
      <c r="H12" s="17">
        <v>375.2</v>
      </c>
      <c r="I12" s="17">
        <f>G12+H12-C12-E12</f>
        <v>-0.024118</v>
      </c>
      <c r="J12" s="17">
        <f>C12-G12</f>
        <v>-138.3238</v>
      </c>
      <c r="K12" s="17"/>
    </row>
    <row r="13" ht="20.05" customHeight="1">
      <c r="B13" s="33"/>
      <c r="C13" s="16">
        <v>43.805332</v>
      </c>
      <c r="D13" s="17">
        <v>563.270651</v>
      </c>
      <c r="E13" s="17">
        <f>D13-C13</f>
        <v>519.465319</v>
      </c>
      <c r="F13" s="17">
        <f>104.896818+82.172369+0.025396</f>
        <v>187.094583</v>
      </c>
      <c r="G13" s="17">
        <v>196.8</v>
      </c>
      <c r="H13" s="17">
        <v>366.5</v>
      </c>
      <c r="I13" s="17">
        <f>G13+H13-C13-E13</f>
        <v>0.029349</v>
      </c>
      <c r="J13" s="17">
        <f>C13-G13</f>
        <v>-152.994668</v>
      </c>
      <c r="K13" s="17"/>
    </row>
    <row r="14" ht="20.05" customHeight="1">
      <c r="B14" s="33"/>
      <c r="C14" s="16">
        <v>71.75040199999999</v>
      </c>
      <c r="D14" s="17">
        <v>587.701599</v>
      </c>
      <c r="E14" s="17">
        <f>D14-C14</f>
        <v>515.951197</v>
      </c>
      <c r="F14" s="17">
        <f>107.97345+84.309861+0.025686</f>
        <v>192.308997</v>
      </c>
      <c r="G14" s="17">
        <v>201.7</v>
      </c>
      <c r="H14" s="17">
        <v>385.9</v>
      </c>
      <c r="I14" s="17">
        <f>G14+H14-C14-E14</f>
        <v>-0.101599</v>
      </c>
      <c r="J14" s="17">
        <f>C14-G14</f>
        <v>-129.949598</v>
      </c>
      <c r="K14" s="17"/>
    </row>
    <row r="15" ht="20.05" customHeight="1">
      <c r="B15" s="33"/>
      <c r="C15" s="16">
        <v>46.404941</v>
      </c>
      <c r="D15" s="17">
        <v>573.994893</v>
      </c>
      <c r="E15" s="17">
        <f>D15-C15</f>
        <v>527.589952</v>
      </c>
      <c r="F15" s="17">
        <f>109.344089+77.633561+0.814359+0.152318</f>
        <v>187.944327</v>
      </c>
      <c r="G15" s="17">
        <v>174.1</v>
      </c>
      <c r="H15" s="17">
        <v>392.4</v>
      </c>
      <c r="I15" s="17">
        <f>G15+H15-C15-E15</f>
        <v>-7.494893</v>
      </c>
      <c r="J15" s="17">
        <f>C15-G15</f>
        <v>-127.695059</v>
      </c>
      <c r="K15" s="17"/>
    </row>
    <row r="16" ht="20.05" customHeight="1">
      <c r="B16" s="36">
        <v>2018</v>
      </c>
      <c r="C16" s="16">
        <v>53.977058</v>
      </c>
      <c r="D16" s="17">
        <v>579.56848</v>
      </c>
      <c r="E16" s="17">
        <f>D16-C16</f>
        <v>525.591422</v>
      </c>
      <c r="F16" s="17">
        <f>111.118035+80.198446+0.157423+0.912353</f>
        <v>192.386257</v>
      </c>
      <c r="G16" s="17">
        <v>189.9</v>
      </c>
      <c r="H16" s="17">
        <v>389.6</v>
      </c>
      <c r="I16" s="17">
        <f>G16+H16-C16-E16</f>
        <v>-0.06848</v>
      </c>
      <c r="J16" s="17">
        <f>C16-G16</f>
        <v>-135.922942</v>
      </c>
      <c r="K16" s="17"/>
    </row>
    <row r="17" ht="20.05" customHeight="1">
      <c r="B17" s="33"/>
      <c r="C17" s="16">
        <v>29.967994</v>
      </c>
      <c r="D17" s="17">
        <v>579.5445089999999</v>
      </c>
      <c r="E17" s="17">
        <f>D17-C17</f>
        <v>549.576515</v>
      </c>
      <c r="F17" s="17">
        <f>106.876111+81.489529+0.148336+1.013026</f>
        <v>189.527002</v>
      </c>
      <c r="G17" s="17">
        <v>188.3</v>
      </c>
      <c r="H17" s="17">
        <v>391.2</v>
      </c>
      <c r="I17" s="17">
        <f>G17+H17-C17-E17</f>
        <v>-0.044509</v>
      </c>
      <c r="J17" s="17">
        <f>C17-G17</f>
        <v>-158.332006</v>
      </c>
      <c r="K17" s="17"/>
    </row>
    <row r="18" ht="20.05" customHeight="1">
      <c r="B18" s="33"/>
      <c r="C18" s="16">
        <v>33.284124</v>
      </c>
      <c r="D18" s="17">
        <v>595.974224</v>
      </c>
      <c r="E18" s="17">
        <f>D18-C18</f>
        <v>562.6901</v>
      </c>
      <c r="F18" s="17">
        <f>107.055999+83.203462+0.143378+1.074176</f>
        <v>191.477015</v>
      </c>
      <c r="G18" s="17">
        <v>211.2</v>
      </c>
      <c r="H18" s="17">
        <v>384.8</v>
      </c>
      <c r="I18" s="17">
        <f>G18+H18-C18-E18</f>
        <v>0.025776</v>
      </c>
      <c r="J18" s="17">
        <f>C18-G18</f>
        <v>-177.915876</v>
      </c>
      <c r="K18" s="17"/>
    </row>
    <row r="19" ht="20.05" customHeight="1">
      <c r="B19" s="33"/>
      <c r="C19" s="16">
        <v>29.234164</v>
      </c>
      <c r="D19" s="17">
        <v>602.204916</v>
      </c>
      <c r="E19" s="17">
        <f>D19-C19</f>
        <v>572.9707519999999</v>
      </c>
      <c r="F19" s="17">
        <f>107.562584+85.904215+1.180474+0.162877</f>
        <v>194.81015</v>
      </c>
      <c r="G19" s="17">
        <v>215.8</v>
      </c>
      <c r="H19" s="17">
        <v>386.4</v>
      </c>
      <c r="I19" s="17">
        <f>G19+H19-C19-E19</f>
        <v>-0.004916</v>
      </c>
      <c r="J19" s="17">
        <f>C19-G19</f>
        <v>-186.565836</v>
      </c>
      <c r="K19" s="17"/>
    </row>
    <row r="20" ht="20.05" customHeight="1">
      <c r="B20" s="36">
        <v>2019</v>
      </c>
      <c r="C20" s="16">
        <v>33.15781</v>
      </c>
      <c r="D20" s="17">
        <v>610.001434</v>
      </c>
      <c r="E20" s="17">
        <f>D20-C20</f>
        <v>576.843624</v>
      </c>
      <c r="F20" s="17">
        <f>109.445441+88.443648+1.274862+0.165859</f>
        <v>199.32981</v>
      </c>
      <c r="G20" s="17">
        <v>226.9</v>
      </c>
      <c r="H20" s="17">
        <v>383</v>
      </c>
      <c r="I20" s="17">
        <f>G20+H20-C20-E20</f>
        <v>-0.101434</v>
      </c>
      <c r="J20" s="17">
        <f>C20-G20</f>
        <v>-193.74219</v>
      </c>
      <c r="K20" s="17"/>
    </row>
    <row r="21" ht="20.05" customHeight="1">
      <c r="B21" s="33"/>
      <c r="C21" s="16">
        <v>15.921834</v>
      </c>
      <c r="D21" s="17">
        <v>610.449485</v>
      </c>
      <c r="E21" s="17">
        <f>D21-C21</f>
        <v>594.527651</v>
      </c>
      <c r="F21" s="17">
        <f>111.091769+91.064055+1.367337+0.167341</f>
        <v>203.690502</v>
      </c>
      <c r="G21" s="17">
        <v>233</v>
      </c>
      <c r="H21" s="17">
        <v>377.4</v>
      </c>
      <c r="I21" s="17">
        <f>G21+H21-C21-E21</f>
        <v>-0.049485</v>
      </c>
      <c r="J21" s="17">
        <f>C21-G21</f>
        <v>-217.078166</v>
      </c>
      <c r="K21" s="17"/>
    </row>
    <row r="22" ht="20.05" customHeight="1">
      <c r="B22" s="33"/>
      <c r="C22" s="16">
        <v>41.730271</v>
      </c>
      <c r="D22" s="17">
        <v>628.744263</v>
      </c>
      <c r="E22" s="17">
        <f>D22-C22</f>
        <v>587.013992</v>
      </c>
      <c r="F22" s="17">
        <f>112.782652+90.485897+0.167225+1.461096</f>
        <v>204.89687</v>
      </c>
      <c r="G22" s="17">
        <v>245.055473</v>
      </c>
      <c r="H22" s="17">
        <v>383.68879</v>
      </c>
      <c r="I22" s="17">
        <f>G22+H22-C22-E22</f>
        <v>0</v>
      </c>
      <c r="J22" s="17">
        <f>C22-G22</f>
        <v>-203.325202</v>
      </c>
      <c r="K22" s="17"/>
    </row>
    <row r="23" ht="20.05" customHeight="1">
      <c r="B23" s="33"/>
      <c r="C23" s="16">
        <v>18.5</v>
      </c>
      <c r="D23" s="17">
        <v>625.7</v>
      </c>
      <c r="E23" s="17">
        <f>D23-C23</f>
        <v>607.2</v>
      </c>
      <c r="F23" s="17">
        <f>109.329868+92.736421+0.1862+1.554595</f>
        <v>203.807084</v>
      </c>
      <c r="G23" s="17">
        <v>237</v>
      </c>
      <c r="H23" s="17">
        <v>388.7</v>
      </c>
      <c r="I23" s="17">
        <f>G23+H23-C23-E23</f>
        <v>0</v>
      </c>
      <c r="J23" s="17">
        <f>C23-G23</f>
        <v>-218.5</v>
      </c>
      <c r="K23" s="17"/>
    </row>
    <row r="24" ht="20.05" customHeight="1">
      <c r="B24" s="36">
        <v>2020</v>
      </c>
      <c r="C24" s="16">
        <v>26.6</v>
      </c>
      <c r="D24" s="17">
        <v>579.8</v>
      </c>
      <c r="E24" s="17">
        <f>D24-C24</f>
        <v>553.2</v>
      </c>
      <c r="F24" s="17">
        <f>0.158+1.435+91.524+110.673</f>
        <v>203.79</v>
      </c>
      <c r="G24" s="17">
        <v>221.3</v>
      </c>
      <c r="H24" s="17">
        <v>358.5</v>
      </c>
      <c r="I24" s="17">
        <f>G24+H24-C24-E24</f>
        <v>0</v>
      </c>
      <c r="J24" s="17">
        <f>C24-G24</f>
        <v>-194.7</v>
      </c>
      <c r="K24" s="17"/>
    </row>
    <row r="25" ht="20.05" customHeight="1">
      <c r="B25" s="33"/>
      <c r="C25" s="16">
        <v>17.047</v>
      </c>
      <c r="D25" s="17">
        <v>618.736</v>
      </c>
      <c r="E25" s="17">
        <f>D25-C25</f>
        <v>601.689</v>
      </c>
      <c r="F25" s="17">
        <f>96.424+114.382+0.181+1.563</f>
        <v>212.55</v>
      </c>
      <c r="G25" s="17">
        <v>233.303</v>
      </c>
      <c r="H25" s="17">
        <v>385.433</v>
      </c>
      <c r="I25" s="17">
        <f>G25+H25-C25-E25</f>
        <v>0</v>
      </c>
      <c r="J25" s="17">
        <f>C25-G25</f>
        <v>-216.256</v>
      </c>
      <c r="K25" s="17"/>
    </row>
    <row r="26" ht="20.05" customHeight="1">
      <c r="B26" s="33"/>
      <c r="C26" s="16">
        <v>19.6</v>
      </c>
      <c r="D26" s="17">
        <v>611.8</v>
      </c>
      <c r="E26" s="17">
        <f>D26-C26</f>
        <v>592.2</v>
      </c>
      <c r="F26" s="17">
        <f>97.891+116.634+0.173+1.644</f>
        <v>216.342</v>
      </c>
      <c r="G26" s="17">
        <v>229.9</v>
      </c>
      <c r="H26" s="17">
        <v>381.9</v>
      </c>
      <c r="I26" s="17">
        <f>G26+H26-C26-E26</f>
        <v>0</v>
      </c>
      <c r="J26" s="17">
        <f>C26-G26</f>
        <v>-210.3</v>
      </c>
      <c r="K26" s="17"/>
    </row>
    <row r="27" ht="20.05" customHeight="1">
      <c r="B27" s="33"/>
      <c r="C27" s="16">
        <v>15.887</v>
      </c>
      <c r="D27" s="17">
        <v>636.1</v>
      </c>
      <c r="E27" s="17">
        <f>D27-C27</f>
        <v>620.213</v>
      </c>
      <c r="F27" s="17">
        <f>101+118+1</f>
        <v>220</v>
      </c>
      <c r="G27" s="17">
        <v>240.4</v>
      </c>
      <c r="H27" s="17">
        <v>395.8</v>
      </c>
      <c r="I27" s="17">
        <f>G27+H27-C27-E27</f>
        <v>0.1</v>
      </c>
      <c r="J27" s="17">
        <f>C27-G27</f>
        <v>-224.513</v>
      </c>
      <c r="K27" s="17"/>
    </row>
    <row r="28" ht="20.05" customHeight="1">
      <c r="B28" s="36">
        <v>2021</v>
      </c>
      <c r="C28" s="16">
        <v>26</v>
      </c>
      <c r="D28" s="17">
        <v>634</v>
      </c>
      <c r="E28" s="17">
        <f>D28-C28</f>
        <v>608</v>
      </c>
      <c r="F28" s="17">
        <f>1+103+122</f>
        <v>226</v>
      </c>
      <c r="G28" s="17">
        <v>243</v>
      </c>
      <c r="H28" s="17">
        <v>391</v>
      </c>
      <c r="I28" s="17">
        <f>G28+H28-C28-E28</f>
        <v>0</v>
      </c>
      <c r="J28" s="17">
        <f>C28-G28</f>
        <v>-217</v>
      </c>
      <c r="K28" s="17"/>
    </row>
    <row r="29" ht="20.05" customHeight="1">
      <c r="B29" s="33"/>
      <c r="C29" s="16">
        <v>22</v>
      </c>
      <c r="D29" s="17">
        <v>634</v>
      </c>
      <c r="E29" s="17">
        <f>D29-C29</f>
        <v>612</v>
      </c>
      <c r="F29" s="17">
        <f>1+105+14+125</f>
        <v>245</v>
      </c>
      <c r="G29" s="17">
        <v>234</v>
      </c>
      <c r="H29" s="17">
        <v>400</v>
      </c>
      <c r="I29" s="17">
        <f>G29+H29-C29-E29</f>
        <v>0</v>
      </c>
      <c r="J29" s="17">
        <f>C29-G29</f>
        <v>-212</v>
      </c>
      <c r="K29" s="17"/>
    </row>
    <row r="30" ht="20.05" customHeight="1">
      <c r="B30" s="33"/>
      <c r="C30" s="16">
        <v>24</v>
      </c>
      <c r="D30" s="17">
        <v>642</v>
      </c>
      <c r="E30" s="17">
        <f>D30-C30</f>
        <v>618</v>
      </c>
      <c r="F30" s="17">
        <f>128+108+14+2</f>
        <v>252</v>
      </c>
      <c r="G30" s="17">
        <v>225</v>
      </c>
      <c r="H30" s="17">
        <v>417</v>
      </c>
      <c r="I30" s="17">
        <f>G30+H30-C30-E30</f>
        <v>0</v>
      </c>
      <c r="J30" s="17">
        <f>C30-G30</f>
        <v>-201</v>
      </c>
      <c r="K30" s="17"/>
    </row>
    <row r="31" ht="20.05" customHeight="1">
      <c r="B31" s="33"/>
      <c r="C31" s="16">
        <v>27</v>
      </c>
      <c r="D31" s="17">
        <v>653</v>
      </c>
      <c r="E31" s="17">
        <f>D31-C31</f>
        <v>626</v>
      </c>
      <c r="F31" s="17">
        <f>F30+'Sales'!E31</f>
        <v>258.225</v>
      </c>
      <c r="G31" s="17">
        <v>219</v>
      </c>
      <c r="H31" s="17">
        <f>D31-G31</f>
        <v>434</v>
      </c>
      <c r="I31" s="17">
        <f>G31+H31-C31-E31</f>
        <v>0</v>
      </c>
      <c r="J31" s="17">
        <f>C31-G31</f>
        <v>-192</v>
      </c>
      <c r="K31" s="17">
        <f>J31</f>
        <v>-192</v>
      </c>
    </row>
    <row r="32" ht="20.05" customHeight="1">
      <c r="B32" s="36">
        <v>2022</v>
      </c>
      <c r="C32" s="16"/>
      <c r="D32" s="17"/>
      <c r="E32" s="17"/>
      <c r="F32" s="17"/>
      <c r="G32" s="17"/>
      <c r="H32" s="17"/>
      <c r="I32" s="17"/>
      <c r="J32" s="17"/>
      <c r="K32" s="17">
        <f>'Model'!F30</f>
        <v>-152.114059872750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6719" style="43" customWidth="1"/>
    <col min="2" max="5" width="8.75" style="43" customWidth="1"/>
    <col min="6" max="16384" width="16.3516" style="43" customWidth="1"/>
  </cols>
  <sheetData>
    <row r="1" ht="19.3" customHeight="1"/>
    <row r="2" ht="27.65" customHeight="1">
      <c r="B2" t="s" s="2">
        <v>57</v>
      </c>
      <c r="C2" s="2"/>
      <c r="D2" s="2"/>
      <c r="E2" s="2"/>
    </row>
    <row r="3" ht="20.25" customHeight="1">
      <c r="B3" s="4"/>
      <c r="C3" t="s" s="44">
        <v>58</v>
      </c>
      <c r="D3" t="s" s="44">
        <v>59</v>
      </c>
      <c r="E3" t="s" s="44">
        <v>60</v>
      </c>
    </row>
    <row r="4" ht="20.25" customHeight="1">
      <c r="B4" s="28">
        <v>2018</v>
      </c>
      <c r="C4" s="42">
        <v>1330</v>
      </c>
      <c r="D4" s="39"/>
      <c r="E4" s="39"/>
    </row>
    <row r="5" ht="20.05" customHeight="1">
      <c r="B5" s="33"/>
      <c r="C5" s="16">
        <v>1135</v>
      </c>
      <c r="D5" s="17"/>
      <c r="E5" s="17"/>
    </row>
    <row r="6" ht="20.05" customHeight="1">
      <c r="B6" s="33"/>
      <c r="C6" s="16">
        <v>1310</v>
      </c>
      <c r="D6" s="17"/>
      <c r="E6" s="17"/>
    </row>
    <row r="7" ht="20.05" customHeight="1">
      <c r="B7" s="33"/>
      <c r="C7" s="16">
        <v>1150</v>
      </c>
      <c r="D7" s="17"/>
      <c r="E7" s="17"/>
    </row>
    <row r="8" ht="20.05" customHeight="1">
      <c r="B8" s="36">
        <v>2019</v>
      </c>
      <c r="C8" s="16">
        <v>1010</v>
      </c>
      <c r="D8" s="17"/>
      <c r="E8" s="17"/>
    </row>
    <row r="9" ht="20.05" customHeight="1">
      <c r="B9" s="33"/>
      <c r="C9" s="16">
        <v>910</v>
      </c>
      <c r="D9" s="17"/>
      <c r="E9" s="17"/>
    </row>
    <row r="10" ht="20.05" customHeight="1">
      <c r="B10" s="33"/>
      <c r="C10" s="16">
        <v>820</v>
      </c>
      <c r="D10" s="17"/>
      <c r="E10" s="17"/>
    </row>
    <row r="11" ht="20.05" customHeight="1">
      <c r="B11" s="33"/>
      <c r="C11" s="16">
        <v>1000</v>
      </c>
      <c r="D11" s="17"/>
      <c r="E11" s="17"/>
    </row>
    <row r="12" ht="20.05" customHeight="1">
      <c r="B12" s="36">
        <v>2020</v>
      </c>
      <c r="C12" s="16">
        <v>610</v>
      </c>
      <c r="D12" s="17"/>
      <c r="E12" s="17"/>
    </row>
    <row r="13" ht="20.05" customHeight="1">
      <c r="B13" s="33"/>
      <c r="C13" s="16">
        <v>488</v>
      </c>
      <c r="D13" s="17"/>
      <c r="E13" s="17"/>
    </row>
    <row r="14" ht="20.05" customHeight="1">
      <c r="B14" s="33"/>
      <c r="C14" s="16">
        <v>492</v>
      </c>
      <c r="D14" s="17"/>
      <c r="E14" s="17"/>
    </row>
    <row r="15" ht="20.05" customHeight="1">
      <c r="B15" s="33"/>
      <c r="C15" s="16">
        <v>735</v>
      </c>
      <c r="D15" s="17"/>
      <c r="E15" s="17"/>
    </row>
    <row r="16" ht="20.05" customHeight="1">
      <c r="B16" s="36">
        <v>2021</v>
      </c>
      <c r="C16" s="16">
        <v>655</v>
      </c>
      <c r="D16" s="17"/>
      <c r="E16" s="17"/>
    </row>
    <row r="17" ht="20.05" customHeight="1">
      <c r="B17" s="33"/>
      <c r="C17" s="16">
        <v>655</v>
      </c>
      <c r="D17" s="17"/>
      <c r="E17" s="17"/>
    </row>
    <row r="18" ht="20.05" customHeight="1">
      <c r="B18" s="33"/>
      <c r="C18" s="16">
        <v>735</v>
      </c>
      <c r="D18" s="17"/>
      <c r="E18" s="17"/>
    </row>
    <row r="19" ht="20.05" customHeight="1">
      <c r="B19" s="33"/>
      <c r="C19" s="16">
        <v>990</v>
      </c>
      <c r="D19" s="17"/>
      <c r="E19" s="17"/>
    </row>
    <row r="20" ht="20.05" customHeight="1">
      <c r="B20" s="36">
        <v>2020</v>
      </c>
      <c r="C20" s="16">
        <v>1035</v>
      </c>
      <c r="D20" s="17">
        <f>C20</f>
        <v>1035</v>
      </c>
      <c r="E20" s="17">
        <v>1295.469014666670</v>
      </c>
    </row>
    <row r="21" ht="20.05" customHeight="1">
      <c r="B21" s="33"/>
      <c r="C21" s="16"/>
      <c r="D21" s="17">
        <f>'Model'!F44</f>
        <v>1473.770438927380</v>
      </c>
      <c r="E21" s="17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