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" sheetId="6" r:id="rId9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<sst xmlns="http://schemas.openxmlformats.org/spreadsheetml/2006/main" uniqueCount="60">
  <si>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</si>
  <si>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</si>
  <si>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</si>
  <si>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</si>
  <si>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</si>
  <si>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</si>
  <si>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</si>
  <si>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</si>
  <si>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</si>
  <si>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</si>
  <si>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</si>
  <si>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</si>
  <si>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</si>
  <si>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</si>
  <si>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</si>
  <si>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</si>
  <si>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</si>
  <si>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</si>
  <si>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</si>
  <si>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</si>
  <si>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</si>
  <si>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</si>
  <si>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</si>
  <si>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</si>
  <si>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</si>
  <si>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</si>
  <si>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</si>
  <si>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</si>
  <si>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</si>
  <si>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</si>
  <si>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</si>
  <si>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</si>
  <si>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</si>
  <si>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</si>
  <si>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</si>
  <si>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</si>
  <si>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</si>
  <si>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</si>
  <si>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</si>
  <si>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</si>
  <si>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</si>
  <si>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</si>
  <si>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Profit</t>
  </si>
  <si>
    <t>Non cash costs</t>
  </si>
  <si>
    <t xml:space="preserve">Sales growth </t>
  </si>
  <si>
    <t xml:space="preserve">Cashflow costs </t>
  </si>
  <si>
    <t>Receipts</t>
  </si>
  <si>
    <t>Liabilities</t>
  </si>
  <si>
    <t>Equity</t>
  </si>
  <si>
    <t xml:space="preserve">Free cashflow </t>
  </si>
  <si>
    <t>Quarters</t>
  </si>
  <si>
    <t>Cash</t>
  </si>
  <si>
    <t>Assets</t>
  </si>
  <si>
    <t>Check</t>
  </si>
  <si>
    <t xml:space="preserve">Net cash </t>
  </si>
  <si>
    <t>Share price</t>
  </si>
  <si>
    <t>AMFG</t>
  </si>
  <si>
    <t>Previous target</t>
  </si>
  <si>
    <t>Capital</t>
  </si>
  <si>
    <t xml:space="preserve">Total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</si>
</sst>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1" fontId="4" borderId="4" applyNumberFormat="1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1" fontId="4" borderId="7" applyNumberFormat="1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  <rgbColor rgb="ffb8b8b8"/>
      <rgbColor rgb="fffefffe"/>
      <rgbColor rgb="ff91919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1758"/>
          <c:y val="0.0446026"/>
          <c:w val="0.81780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'Capital'!$E$8:$E$24</c:f>
              <c:numCache>
                <c:ptCount val="17"/>
                <c:pt idx="0">
                  <c:v>-161.030000</c:v>
                </c:pt>
                <c:pt idx="1">
                  <c:v>-44.828000</c:v>
                </c:pt>
                <c:pt idx="2">
                  <c:v>-167.997000</c:v>
                </c:pt>
                <c:pt idx="3">
                  <c:v>-276.316000</c:v>
                </c:pt>
                <c:pt idx="4">
                  <c:v>-276.316000</c:v>
                </c:pt>
                <c:pt idx="5">
                  <c:v>-276.316000</c:v>
                </c:pt>
                <c:pt idx="6">
                  <c:v>-276.316000</c:v>
                </c:pt>
                <c:pt idx="7">
                  <c:v>-276.316000</c:v>
                </c:pt>
                <c:pt idx="8">
                  <c:v>-276.316000</c:v>
                </c:pt>
                <c:pt idx="9">
                  <c:v>-276.316000</c:v>
                </c:pt>
                <c:pt idx="10">
                  <c:v>-276.316000</c:v>
                </c:pt>
                <c:pt idx="11">
                  <c:v>422.356000</c:v>
                </c:pt>
                <c:pt idx="12">
                  <c:v>1200.022000</c:v>
                </c:pt>
                <c:pt idx="13">
                  <c:v>2850.365000</c:v>
                </c:pt>
                <c:pt idx="14">
                  <c:v>3872.888000</c:v>
                </c:pt>
                <c:pt idx="15">
                  <c:v>3487.972000</c:v>
                </c:pt>
                <c:pt idx="16">
                  <c:v>2421.772000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'Capital'!$F$8:$F$24</c:f>
              <c:numCache>
                <c:ptCount val="17"/>
                <c:pt idx="0">
                  <c:v>-43.400000</c:v>
                </c:pt>
                <c:pt idx="1">
                  <c:v>-78.120000</c:v>
                </c:pt>
                <c:pt idx="2">
                  <c:v>-78.120000</c:v>
                </c:pt>
                <c:pt idx="3">
                  <c:v>-112.910000</c:v>
                </c:pt>
                <c:pt idx="4">
                  <c:v>-130.270000</c:v>
                </c:pt>
                <c:pt idx="5">
                  <c:v>-147.630000</c:v>
                </c:pt>
                <c:pt idx="6">
                  <c:v>-182.350000</c:v>
                </c:pt>
                <c:pt idx="7">
                  <c:v>-217.070000</c:v>
                </c:pt>
                <c:pt idx="8">
                  <c:v>-251.790000</c:v>
                </c:pt>
                <c:pt idx="9">
                  <c:v>-286.510000</c:v>
                </c:pt>
                <c:pt idx="10">
                  <c:v>-321.230000</c:v>
                </c:pt>
                <c:pt idx="11">
                  <c:v>-355.950000</c:v>
                </c:pt>
                <c:pt idx="12">
                  <c:v>-390.670000</c:v>
                </c:pt>
                <c:pt idx="13">
                  <c:v>-403.690000</c:v>
                </c:pt>
                <c:pt idx="14">
                  <c:v>-416.710000</c:v>
                </c:pt>
                <c:pt idx="15">
                  <c:v>-416.710000</c:v>
                </c:pt>
                <c:pt idx="16">
                  <c:v>-416.710000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'Capital'!$A$8:$A$24</c:f>
              <c:strCach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strCache>
            </c:strRef>
          </c:cat>
          <c:val>
            <c:numRef>
              <c:f>'Capital'!$G$8:$G$24</c:f>
              <c:numCache>
                <c:ptCount val="17"/>
                <c:pt idx="0">
                  <c:v>-204.430000</c:v>
                </c:pt>
                <c:pt idx="1">
                  <c:v>-122.948000</c:v>
                </c:pt>
                <c:pt idx="2">
                  <c:v>-246.117000</c:v>
                </c:pt>
                <c:pt idx="3">
                  <c:v>-389.226000</c:v>
                </c:pt>
                <c:pt idx="4">
                  <c:v>-406.586000</c:v>
                </c:pt>
                <c:pt idx="5">
                  <c:v>-423.946000</c:v>
                </c:pt>
                <c:pt idx="6">
                  <c:v>-458.666000</c:v>
                </c:pt>
                <c:pt idx="7">
                  <c:v>-493.386000</c:v>
                </c:pt>
                <c:pt idx="8">
                  <c:v>-528.106000</c:v>
                </c:pt>
                <c:pt idx="9">
                  <c:v>-562.826000</c:v>
                </c:pt>
                <c:pt idx="10">
                  <c:v>-597.546000</c:v>
                </c:pt>
                <c:pt idx="11">
                  <c:v>66.406000</c:v>
                </c:pt>
                <c:pt idx="12">
                  <c:v>809.352000</c:v>
                </c:pt>
                <c:pt idx="13">
                  <c:v>2446.675000</c:v>
                </c:pt>
                <c:pt idx="14">
                  <c:v>3456.178000</c:v>
                </c:pt>
                <c:pt idx="15">
                  <c:v>3071.262000</c:v>
                </c:pt>
                <c:pt idx="16">
                  <c:v>2005.062000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250"/>
        <c:minorUnit val="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287906"/>
          <c:y val="0.0641769"/>
          <c:w val="0.333919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553875</xdr:colOff>
      <xdr:row>1</xdr:row>
      <xdr:rowOff>338611</xdr:rowOff>
    </xdr:from>
    <xdr:to>
      <xdr:col>13</xdr:col>
      <xdr:colOff>703502</xdr:colOff>
      <xdr:row>48</xdr:row>
      <xdr:rowOff>76614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05175" y="491011"/>
          <a:ext cx="8861828" cy="118074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846787</xdr:colOff>
      <xdr:row>28</xdr:row>
      <xdr:rowOff>13480</xdr:rowOff>
    </xdr:from>
    <xdr:to>
      <xdr:col>5</xdr:col>
      <xdr:colOff>114695</xdr:colOff>
      <xdr:row>41</xdr:row>
      <xdr:rowOff>65105</xdr:rowOff>
    </xdr:to>
    <xdr:graphicFrame>
      <xdr:nvGraphicFramePr>
        <xdr:cNvPr id="4" name="2D Line Chart"/>
        <xdr:cNvGraphicFramePr/>
      </xdr:nvGraphicFramePr>
      <xdr:xfrm>
        <a:off x="846787" y="7237240"/>
        <a:ext cx="3649409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797" style="1" customWidth="1"/>
    <col min="3" max="6" width="8.851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AVERAGE('Sales'!G19:G22)</f>
        <v>0.0280666337991187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-0.01</v>
      </c>
      <c r="D5" s="12">
        <v>0.05</v>
      </c>
      <c r="E5" s="12">
        <v>0.02</v>
      </c>
      <c r="F5" s="12">
        <v>0.05</v>
      </c>
    </row>
    <row r="6" ht="20.05" customHeight="1">
      <c r="B6" t="s" s="10">
        <v>5</v>
      </c>
      <c r="C6" s="13">
        <f>'Sales'!C22*(1+C5)</f>
        <v>1253.043</v>
      </c>
      <c r="D6" s="14">
        <f>C6*(1+D5)</f>
        <v>1315.69515</v>
      </c>
      <c r="E6" s="14">
        <f>D6*(1+E5)</f>
        <v>1342.009053</v>
      </c>
      <c r="F6" s="14">
        <f>E6*(1+F5)</f>
        <v>1409.10950565</v>
      </c>
    </row>
    <row r="7" ht="20.05" customHeight="1">
      <c r="B7" t="s" s="10">
        <v>6</v>
      </c>
      <c r="C7" s="11">
        <f>AVERAGE('Sales'!H22)</f>
        <v>-0.792288852018646</v>
      </c>
      <c r="D7" s="12">
        <f>C7</f>
        <v>-0.792288852018646</v>
      </c>
      <c r="E7" s="12">
        <f>D7</f>
        <v>-0.792288852018646</v>
      </c>
      <c r="F7" s="12">
        <f>E7</f>
        <v>-0.792288852018646</v>
      </c>
    </row>
    <row r="8" ht="20.05" customHeight="1">
      <c r="B8" t="s" s="10">
        <v>7</v>
      </c>
      <c r="C8" s="15">
        <f>C6*C7</f>
        <v>-992.772</v>
      </c>
      <c r="D8" s="16">
        <f>D6*D7</f>
        <v>-1042.4106</v>
      </c>
      <c r="E8" s="16">
        <f>E6*E7</f>
        <v>-1063.258812</v>
      </c>
      <c r="F8" s="16">
        <f>F6*F7</f>
        <v>-1116.4217526</v>
      </c>
    </row>
    <row r="9" ht="20.05" customHeight="1">
      <c r="B9" t="s" s="10">
        <v>8</v>
      </c>
      <c r="C9" s="15">
        <f>C6+C8</f>
        <v>260.271</v>
      </c>
      <c r="D9" s="16">
        <f>D6+D8</f>
        <v>273.28455</v>
      </c>
      <c r="E9" s="16">
        <f>E6+E8</f>
        <v>278.750241</v>
      </c>
      <c r="F9" s="16">
        <f>F6+F8</f>
        <v>292.68775305</v>
      </c>
    </row>
    <row r="10" ht="20.05" customHeight="1">
      <c r="B10" t="s" s="10">
        <v>9</v>
      </c>
      <c r="C10" s="15">
        <f>AVERAGE('Cashflow '!E20:E23)</f>
        <v>-20.425</v>
      </c>
      <c r="D10" s="16">
        <f>C10</f>
        <v>-20.425</v>
      </c>
      <c r="E10" s="16">
        <f>D10</f>
        <v>-20.425</v>
      </c>
      <c r="F10" s="16">
        <f>E10</f>
        <v>-20.425</v>
      </c>
    </row>
    <row r="11" ht="20.05" customHeight="1">
      <c r="B11" t="s" s="10">
        <v>10</v>
      </c>
      <c r="C11" s="15">
        <f>AVERAGE('Cashflow '!F20:F23)</f>
        <v>-8.75</v>
      </c>
      <c r="D11" s="16">
        <f>C11</f>
        <v>-8.75</v>
      </c>
      <c r="E11" s="16">
        <f>D11</f>
        <v>-8.75</v>
      </c>
      <c r="F11" s="16">
        <f>E11</f>
        <v>-8.75</v>
      </c>
    </row>
    <row r="12" ht="20.05" customHeight="1">
      <c r="B12" t="s" s="10">
        <v>11</v>
      </c>
      <c r="C12" s="15">
        <f>C13+C14+C16</f>
        <v>-231.096</v>
      </c>
      <c r="D12" s="16">
        <f>D13+D14+D16</f>
        <v>-244.10955</v>
      </c>
      <c r="E12" s="16">
        <f>E13+E14+E16</f>
        <v>-228.2843123</v>
      </c>
      <c r="F12" s="16">
        <f>F13+F14+F16</f>
        <v>-221.048919665</v>
      </c>
    </row>
    <row r="13" ht="20.05" customHeight="1">
      <c r="B13" t="s" s="10">
        <v>12</v>
      </c>
      <c r="C13" s="15">
        <f>-'Balance sheet'!G19/20</f>
        <v>-205.5</v>
      </c>
      <c r="D13" s="16">
        <f>-C27/20</f>
        <v>-194.7875</v>
      </c>
      <c r="E13" s="16">
        <f>-D27/20</f>
        <v>-184.610625</v>
      </c>
      <c r="F13" s="16">
        <f>-E27/20</f>
        <v>-174.94259375</v>
      </c>
    </row>
    <row r="14" ht="20.05" customHeight="1">
      <c r="B14" t="s" s="10">
        <v>13</v>
      </c>
      <c r="C14" s="15">
        <f>IF(C22&gt;0,-C22*0.3,0)</f>
        <v>-36.3813</v>
      </c>
      <c r="D14" s="16">
        <f>IF(D22&gt;0,-D22*0.3,0)</f>
        <v>-40.285365</v>
      </c>
      <c r="E14" s="16">
        <f>IF(E22&gt;0,-E22*0.3,0)</f>
        <v>-41.9250723</v>
      </c>
      <c r="F14" s="16">
        <f>IF(F22&gt;0,-F22*0.3,0)</f>
        <v>-46.106325915</v>
      </c>
    </row>
    <row r="15" ht="20.05" customHeight="1">
      <c r="B15" t="s" s="10">
        <v>14</v>
      </c>
      <c r="C15" s="15">
        <f>C9+C10+C13+C14+C11</f>
        <v>-10.7853</v>
      </c>
      <c r="D15" s="16">
        <f>D9+D10+D13+D14+D11</f>
        <v>9.036685</v>
      </c>
      <c r="E15" s="16">
        <f>E9+E10+E13+E14+E11</f>
        <v>23.0395437</v>
      </c>
      <c r="F15" s="16">
        <f>F9+F10+F13+F14+F11</f>
        <v>42.463833385</v>
      </c>
    </row>
    <row r="16" ht="20.05" customHeight="1">
      <c r="B16" t="s" s="10">
        <v>15</v>
      </c>
      <c r="C16" s="15">
        <f>-MIN(0,C15)</f>
        <v>10.7853</v>
      </c>
      <c r="D16" s="16">
        <f>-MIN(C28,D15)</f>
        <v>-9.036685</v>
      </c>
      <c r="E16" s="16">
        <f>-MIN(D28,E15)</f>
        <v>-1.748615</v>
      </c>
      <c r="F16" s="16">
        <f>-MIN(E28,F15)</f>
        <v>0</v>
      </c>
    </row>
    <row r="17" ht="20.05" customHeight="1">
      <c r="B17" t="s" s="10">
        <v>16</v>
      </c>
      <c r="C17" s="15">
        <f>'Balance sheet'!C19</f>
        <v>132</v>
      </c>
      <c r="D17" s="16">
        <f>C19</f>
        <v>132</v>
      </c>
      <c r="E17" s="16">
        <f>D19</f>
        <v>132</v>
      </c>
      <c r="F17" s="16">
        <f>E19</f>
        <v>153.2909287</v>
      </c>
    </row>
    <row r="18" ht="20.05" customHeight="1">
      <c r="B18" t="s" s="10">
        <v>17</v>
      </c>
      <c r="C18" s="15">
        <f>C9+C10+C12+C11</f>
        <v>0</v>
      </c>
      <c r="D18" s="16">
        <f>D9+D10+D12+D11</f>
        <v>0</v>
      </c>
      <c r="E18" s="16">
        <f>E9+E10+E12+E11</f>
        <v>21.2909287</v>
      </c>
      <c r="F18" s="16">
        <f>F9+F10+F12+F11</f>
        <v>42.463833385</v>
      </c>
    </row>
    <row r="19" ht="20.05" customHeight="1">
      <c r="B19" t="s" s="10">
        <v>18</v>
      </c>
      <c r="C19" s="15">
        <f>C17+C18</f>
        <v>132</v>
      </c>
      <c r="D19" s="16">
        <f>D17+D18</f>
        <v>132</v>
      </c>
      <c r="E19" s="16">
        <f>E17+E18</f>
        <v>153.2909287</v>
      </c>
      <c r="F19" s="16">
        <f>F17+F18</f>
        <v>195.754762085</v>
      </c>
    </row>
    <row r="20" ht="20.05" customHeight="1">
      <c r="B20" t="s" s="17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-AVERAGE('Sales'!E22)</f>
        <v>-139</v>
      </c>
      <c r="D21" s="16">
        <f>C21</f>
        <v>-139</v>
      </c>
      <c r="E21" s="16">
        <f>D21</f>
        <v>-139</v>
      </c>
      <c r="F21" s="16">
        <f>E21</f>
        <v>-139</v>
      </c>
    </row>
    <row r="22" ht="20.05" customHeight="1">
      <c r="B22" t="s" s="10">
        <v>19</v>
      </c>
      <c r="C22" s="15">
        <f>C6+C8+C21</f>
        <v>121.271</v>
      </c>
      <c r="D22" s="16">
        <f>D6+D8+D21</f>
        <v>134.28455</v>
      </c>
      <c r="E22" s="16">
        <f>E6+E8+E21</f>
        <v>139.750241</v>
      </c>
      <c r="F22" s="16">
        <f>F6+F8+F21</f>
        <v>153.68775305</v>
      </c>
    </row>
    <row r="23" ht="20.05" customHeight="1">
      <c r="B23" t="s" s="17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sheet'!E19+'Balance sheet'!F19-C10</f>
        <v>11485.425</v>
      </c>
      <c r="D24" s="16">
        <f>C24-D10</f>
        <v>11505.85</v>
      </c>
      <c r="E24" s="16">
        <f>D24-E10</f>
        <v>11526.275</v>
      </c>
      <c r="F24" s="16">
        <f>E24-F10</f>
        <v>11546.7</v>
      </c>
    </row>
    <row r="25" ht="20.05" customHeight="1">
      <c r="B25" t="s" s="10">
        <v>23</v>
      </c>
      <c r="C25" s="15">
        <f>'Balance sheet'!F19-C21</f>
        <v>4333</v>
      </c>
      <c r="D25" s="16">
        <f>C25-D21</f>
        <v>4472</v>
      </c>
      <c r="E25" s="16">
        <f>D25-E21</f>
        <v>4611</v>
      </c>
      <c r="F25" s="16">
        <f>E25-F21</f>
        <v>4750</v>
      </c>
    </row>
    <row r="26" ht="20.05" customHeight="1">
      <c r="B26" t="s" s="10">
        <v>24</v>
      </c>
      <c r="C26" s="15">
        <f>C24-C25</f>
        <v>7152.425</v>
      </c>
      <c r="D26" s="16">
        <f>D24-D25</f>
        <v>7033.85</v>
      </c>
      <c r="E26" s="16">
        <f>E24-E25</f>
        <v>6915.275</v>
      </c>
      <c r="F26" s="16">
        <f>F24-F25</f>
        <v>6796.7</v>
      </c>
    </row>
    <row r="27" ht="20.05" customHeight="1">
      <c r="B27" t="s" s="10">
        <v>12</v>
      </c>
      <c r="C27" s="15">
        <f>'Balance sheet'!G19+C13+C11</f>
        <v>3895.75</v>
      </c>
      <c r="D27" s="16">
        <f>C27+D13+D11</f>
        <v>3692.2125</v>
      </c>
      <c r="E27" s="16">
        <f>D27+E13+E11</f>
        <v>3498.851875</v>
      </c>
      <c r="F27" s="16">
        <f>E27+F13+F11</f>
        <v>3315.15928125</v>
      </c>
    </row>
    <row r="28" ht="20.05" customHeight="1">
      <c r="B28" t="s" s="10">
        <v>15</v>
      </c>
      <c r="C28" s="15">
        <f>C16</f>
        <v>10.7853</v>
      </c>
      <c r="D28" s="16">
        <f>C28+D16</f>
        <v>1.748615</v>
      </c>
      <c r="E28" s="16">
        <f>D28+E16</f>
        <v>0</v>
      </c>
      <c r="F28" s="16">
        <f>E28+F16</f>
        <v>0</v>
      </c>
    </row>
    <row r="29" ht="20.05" customHeight="1">
      <c r="B29" t="s" s="10">
        <v>13</v>
      </c>
      <c r="C29" s="15">
        <f>'Balance sheet'!H19+C22+C14</f>
        <v>3377.8897</v>
      </c>
      <c r="D29" s="16">
        <f>C29+D22+D14</f>
        <v>3471.888885</v>
      </c>
      <c r="E29" s="16">
        <f>D29+E22+E14</f>
        <v>3569.7140537</v>
      </c>
      <c r="F29" s="16">
        <f>E29+F22+F14</f>
        <v>3677.295480835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26</v>
      </c>
      <c r="C31" s="15">
        <f>C19-C27-C28</f>
        <v>-3774.5353</v>
      </c>
      <c r="D31" s="16">
        <f>D19-D27-D28</f>
        <v>-3561.961115</v>
      </c>
      <c r="E31" s="16">
        <f>E19-E27-E28</f>
        <v>-3345.5609463</v>
      </c>
      <c r="F31" s="16">
        <f>F19-F27-F28</f>
        <v>-3119.404519165</v>
      </c>
    </row>
    <row r="32" ht="20.05" customHeight="1">
      <c r="B32" t="s" s="17">
        <v>27</v>
      </c>
      <c r="C32" s="15"/>
      <c r="D32" s="16"/>
      <c r="E32" s="16"/>
      <c r="F32" s="16"/>
    </row>
    <row r="33" ht="20.05" customHeight="1">
      <c r="B33" t="s" s="10">
        <v>28</v>
      </c>
      <c r="C33" s="15">
        <f>'Cashflow '!M23-(C12-C11)</f>
        <v>-1716.254</v>
      </c>
      <c r="D33" s="16">
        <f>C33-(D12-D11)</f>
        <v>-1480.89445</v>
      </c>
      <c r="E33" s="16">
        <f>D33-(E12-E11)</f>
        <v>-1261.3601377</v>
      </c>
      <c r="F33" s="16">
        <f>E33-(F12-F11)</f>
        <v>-1049.061218035</v>
      </c>
    </row>
    <row r="34" ht="20.05" customHeight="1">
      <c r="B34" t="s" s="10">
        <v>29</v>
      </c>
      <c r="C34" s="15"/>
      <c r="D34" s="16"/>
      <c r="E34" s="16"/>
      <c r="F34" s="16">
        <v>2343600000000</v>
      </c>
    </row>
    <row r="35" ht="20.05" customHeight="1">
      <c r="B35" t="s" s="10">
        <v>29</v>
      </c>
      <c r="C35" s="15"/>
      <c r="D35" s="16"/>
      <c r="E35" s="16"/>
      <c r="F35" s="16">
        <f>F34/1000000000</f>
        <v>2343.6</v>
      </c>
    </row>
    <row r="36" ht="20.05" customHeight="1">
      <c r="B36" t="s" s="10">
        <v>30</v>
      </c>
      <c r="C36" s="15"/>
      <c r="D36" s="16"/>
      <c r="E36" s="16"/>
      <c r="F36" s="19">
        <f>F35/(F19+F26)</f>
        <v>0.335161267357444</v>
      </c>
    </row>
    <row r="37" ht="20.05" customHeight="1">
      <c r="B37" t="s" s="10">
        <v>31</v>
      </c>
      <c r="C37" s="15"/>
      <c r="D37" s="16"/>
      <c r="E37" s="16"/>
      <c r="F37" s="20">
        <f>-(C14+D14+E14+F14)/(F35)</f>
        <v>0.070275671281362</v>
      </c>
    </row>
    <row r="38" ht="20.05" customHeight="1">
      <c r="B38" t="s" s="10">
        <v>32</v>
      </c>
      <c r="C38" s="15"/>
      <c r="D38" s="16"/>
      <c r="E38" s="16"/>
      <c r="F38" s="16">
        <f>SUM(C9:F11)</f>
        <v>988.29354405</v>
      </c>
    </row>
    <row r="39" ht="20.05" customHeight="1">
      <c r="B39" t="s" s="10">
        <v>33</v>
      </c>
      <c r="C39" s="15"/>
      <c r="D39" s="16"/>
      <c r="E39" s="16"/>
      <c r="F39" s="16">
        <f>'Balance sheet'!E19/F38</f>
        <v>7.35712586991476</v>
      </c>
    </row>
    <row r="40" ht="20.05" customHeight="1">
      <c r="B40" t="s" s="10">
        <v>27</v>
      </c>
      <c r="C40" s="15"/>
      <c r="D40" s="16"/>
      <c r="E40" s="16"/>
      <c r="F40" s="16">
        <f>F35/F38</f>
        <v>2.37136022400388</v>
      </c>
    </row>
    <row r="41" ht="20.05" customHeight="1">
      <c r="B41" t="s" s="10">
        <v>34</v>
      </c>
      <c r="C41" s="15"/>
      <c r="D41" s="16"/>
      <c r="E41" s="16"/>
      <c r="F41" s="16">
        <v>6</v>
      </c>
    </row>
    <row r="42" ht="20.05" customHeight="1">
      <c r="B42" t="s" s="10">
        <v>35</v>
      </c>
      <c r="C42" s="15"/>
      <c r="D42" s="16"/>
      <c r="E42" s="16"/>
      <c r="F42" s="16">
        <f>F38*F41</f>
        <v>5929.7612643</v>
      </c>
    </row>
    <row r="43" ht="20.05" customHeight="1">
      <c r="B43" t="s" s="10">
        <v>36</v>
      </c>
      <c r="C43" s="15"/>
      <c r="D43" s="16"/>
      <c r="E43" s="16"/>
      <c r="F43" s="16">
        <f>F35/F45</f>
        <v>0.434</v>
      </c>
    </row>
    <row r="44" ht="20.05" customHeight="1">
      <c r="B44" t="s" s="10">
        <v>37</v>
      </c>
      <c r="C44" s="15"/>
      <c r="D44" s="16"/>
      <c r="E44" s="16"/>
      <c r="F44" s="16">
        <f>F42/F43</f>
        <v>13663.044387788</v>
      </c>
    </row>
    <row r="45" ht="20.05" customHeight="1">
      <c r="B45" t="s" s="10">
        <v>38</v>
      </c>
      <c r="C45" s="15"/>
      <c r="D45" s="16"/>
      <c r="E45" s="16"/>
      <c r="F45" s="16">
        <v>5400</v>
      </c>
    </row>
    <row r="46" ht="20.05" customHeight="1">
      <c r="B46" t="s" s="10">
        <v>39</v>
      </c>
      <c r="C46" s="15"/>
      <c r="D46" s="16"/>
      <c r="E46" s="16"/>
      <c r="F46" s="20">
        <f>F44/F45-1</f>
        <v>1.53019340514593</v>
      </c>
    </row>
    <row r="47" ht="20.05" customHeight="1">
      <c r="B47" t="s" s="10">
        <v>40</v>
      </c>
      <c r="C47" s="15"/>
      <c r="D47" s="16"/>
      <c r="E47" s="16"/>
      <c r="F47" s="20">
        <f>'Sales'!C22/'Sales'!C18-1</f>
        <v>0.110555409318242</v>
      </c>
    </row>
    <row r="48" ht="20.05" customHeight="1">
      <c r="B48" t="s" s="10">
        <v>41</v>
      </c>
      <c r="C48" s="15"/>
      <c r="D48" s="16"/>
      <c r="E48" s="16"/>
      <c r="F48" s="20">
        <f>('Sales'!D20+'Sales'!D22+'Sales'!D21)/('Sales'!C20+'Sales'!C22+'Sales'!C21)-1</f>
        <v>0.0368658965344048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6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11" width="10.9688" style="21" customWidth="1"/>
    <col min="12" max="16384" width="16.3516" style="21" customWidth="1"/>
  </cols>
  <sheetData>
    <row r="1" ht="27.65" customHeight="1">
      <c r="B1" t="s" s="2">
        <v>42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</v>
      </c>
      <c r="D2" t="s" s="5">
        <v>34</v>
      </c>
      <c r="E2" t="s" s="5">
        <v>43</v>
      </c>
      <c r="F2" t="s" s="5">
        <v>42</v>
      </c>
      <c r="G2" t="s" s="5">
        <v>44</v>
      </c>
      <c r="H2" t="s" s="5">
        <v>6</v>
      </c>
      <c r="I2" t="s" s="5">
        <v>6</v>
      </c>
      <c r="J2" t="s" s="5">
        <v>34</v>
      </c>
      <c r="K2" t="s" s="5">
        <v>45</v>
      </c>
    </row>
    <row r="3" ht="20.25" customHeight="1">
      <c r="B3" s="22">
        <v>2017</v>
      </c>
      <c r="C3" s="23">
        <v>920.9</v>
      </c>
      <c r="D3" s="24"/>
      <c r="E3" s="24">
        <v>87.2</v>
      </c>
      <c r="F3" s="25">
        <v>18.6</v>
      </c>
      <c r="G3" s="9"/>
      <c r="H3" s="9"/>
      <c r="I3" s="8"/>
      <c r="J3" s="8"/>
      <c r="K3" s="8"/>
    </row>
    <row r="4" ht="20.05" customHeight="1">
      <c r="B4" s="26"/>
      <c r="C4" s="13">
        <v>865.8</v>
      </c>
      <c r="D4" s="14"/>
      <c r="E4" s="14">
        <v>88.59999999999999</v>
      </c>
      <c r="F4" s="16">
        <v>2.3</v>
      </c>
      <c r="G4" s="12"/>
      <c r="H4" s="12"/>
      <c r="I4" s="18"/>
      <c r="J4" s="18"/>
      <c r="K4" s="18"/>
    </row>
    <row r="5" ht="20.05" customHeight="1">
      <c r="B5" s="26"/>
      <c r="C5" s="13">
        <v>1069.3</v>
      </c>
      <c r="D5" s="14"/>
      <c r="E5" s="14">
        <v>89</v>
      </c>
      <c r="F5" s="16">
        <v>42.4</v>
      </c>
      <c r="G5" s="12"/>
      <c r="H5" s="12">
        <f>(E5+F5-C5)/C5</f>
        <v>-0.877115870195455</v>
      </c>
      <c r="I5" s="18"/>
      <c r="J5" s="18"/>
      <c r="K5" s="18"/>
    </row>
    <row r="6" ht="20.05" customHeight="1">
      <c r="B6" s="26"/>
      <c r="C6" s="13">
        <v>1029.8</v>
      </c>
      <c r="D6" s="14"/>
      <c r="E6" s="14">
        <v>97.3</v>
      </c>
      <c r="F6" s="16">
        <v>-24.7</v>
      </c>
      <c r="G6" s="12">
        <f>C6/C5-1</f>
        <v>-0.0369400542410923</v>
      </c>
      <c r="H6" s="12">
        <f>(E6+F6-C6)/C6</f>
        <v>-0.929500873956108</v>
      </c>
      <c r="I6" s="18"/>
      <c r="J6" s="18"/>
      <c r="K6" s="18"/>
    </row>
    <row r="7" ht="20.05" customHeight="1">
      <c r="B7" s="27">
        <v>2018</v>
      </c>
      <c r="C7" s="13">
        <v>1080.3</v>
      </c>
      <c r="D7" s="14"/>
      <c r="E7" s="14">
        <v>92.90000000000001</v>
      </c>
      <c r="F7" s="16">
        <v>36.2</v>
      </c>
      <c r="G7" s="12">
        <f>C7/C6-1</f>
        <v>0.0490386482812197</v>
      </c>
      <c r="H7" s="12">
        <f>(E7+F7-C7)/C7</f>
        <v>-0.880496158474498</v>
      </c>
      <c r="I7" s="20">
        <f>AVERAGE(H4:H7)</f>
        <v>-0.895704300875354</v>
      </c>
      <c r="J7" s="20"/>
      <c r="K7" s="20">
        <f>('Cashflow '!D5+'Cashflow '!D6+'Cashflow '!D7+'Cashflow '!D8+-'Cashflow '!C5-'Cashflow '!C6-'Cashflow '!C7-'Cashflow '!C8)/('Cashflow '!C5+'Cashflow '!C6+'Cashflow '!C7+'Cashflow '!C8)</f>
        <v>-0.921255121415009</v>
      </c>
    </row>
    <row r="8" ht="20.05" customHeight="1">
      <c r="B8" s="26"/>
      <c r="C8" s="13">
        <v>972.5</v>
      </c>
      <c r="D8" s="14"/>
      <c r="E8" s="14">
        <v>92.59999999999999</v>
      </c>
      <c r="F8" s="16">
        <v>-56.2</v>
      </c>
      <c r="G8" s="12">
        <f>C8/C7-1</f>
        <v>-0.0997870961769879</v>
      </c>
      <c r="H8" s="12">
        <f>(E8+F8-C8)/C8</f>
        <v>-0.962570694087404</v>
      </c>
      <c r="I8" s="20">
        <f>AVERAGE(H5:H8)</f>
        <v>-0.912420899178366</v>
      </c>
      <c r="J8" s="20"/>
      <c r="K8" s="20">
        <f>('Cashflow '!D6+'Cashflow '!D7+'Cashflow '!D8+'Cashflow '!D9+-'Cashflow '!C6-'Cashflow '!C7-'Cashflow '!C8-'Cashflow '!C9)/('Cashflow '!C6+'Cashflow '!C7+'Cashflow '!C8+'Cashflow '!C9)</f>
        <v>-0.926234314530315</v>
      </c>
    </row>
    <row r="9" ht="20.05" customHeight="1">
      <c r="B9" s="26"/>
      <c r="C9" s="13">
        <v>1213.5</v>
      </c>
      <c r="D9" s="14"/>
      <c r="E9" s="14">
        <v>104.2</v>
      </c>
      <c r="F9" s="16">
        <v>-71.09999999999999</v>
      </c>
      <c r="G9" s="12">
        <f>C9/C8-1</f>
        <v>0.247814910025707</v>
      </c>
      <c r="H9" s="12">
        <f>(E9+F9-C9)/C9</f>
        <v>-0.972723526988051</v>
      </c>
      <c r="I9" s="20">
        <f>AVERAGE(H6:H9)</f>
        <v>-0.936322813376515</v>
      </c>
      <c r="J9" s="20"/>
      <c r="K9" s="20">
        <f>('Cashflow '!D7+'Cashflow '!D8+'Cashflow '!D9+'Cashflow '!D10+-'Cashflow '!C7-'Cashflow '!C8-'Cashflow '!C9-'Cashflow '!C10)/('Cashflow '!C7+'Cashflow '!C8+'Cashflow '!C9+'Cashflow '!C10)</f>
        <v>-0.946299995354671</v>
      </c>
    </row>
    <row r="10" ht="20.05" customHeight="1">
      <c r="B10" s="26"/>
      <c r="C10" s="13">
        <v>1177</v>
      </c>
      <c r="D10" s="14"/>
      <c r="E10" s="14">
        <v>103.2</v>
      </c>
      <c r="F10" s="16">
        <v>97.7</v>
      </c>
      <c r="G10" s="12">
        <f>C10/C9-1</f>
        <v>-0.0300782859497322</v>
      </c>
      <c r="H10" s="12">
        <f>(E10+F10-C10)/C10</f>
        <v>-0.829311809685641</v>
      </c>
      <c r="I10" s="20">
        <f>AVERAGE(H7:H10)</f>
        <v>-0.911275547308899</v>
      </c>
      <c r="J10" s="20"/>
      <c r="K10" s="20">
        <f>('Cashflow '!D8+'Cashflow '!D9+'Cashflow '!D10+'Cashflow '!D11+-'Cashflow '!C8-'Cashflow '!C9-'Cashflow '!C10-'Cashflow '!C11)/('Cashflow '!C8+'Cashflow '!C9+'Cashflow '!C10+'Cashflow '!C11)</f>
        <v>-0.950854603980596</v>
      </c>
    </row>
    <row r="11" ht="20.05" customHeight="1">
      <c r="B11" s="27">
        <v>2019</v>
      </c>
      <c r="C11" s="13">
        <v>996.7</v>
      </c>
      <c r="D11" s="14"/>
      <c r="E11" s="14">
        <v>106.8</v>
      </c>
      <c r="F11" s="16">
        <v>-16.3</v>
      </c>
      <c r="G11" s="12">
        <f>C11/C10-1</f>
        <v>-0.153186066270178</v>
      </c>
      <c r="H11" s="12">
        <f>(E11+F11-C11)/C11</f>
        <v>-0.909200361191933</v>
      </c>
      <c r="I11" s="20">
        <f>AVERAGE(H8:H11)</f>
        <v>-0.918451597988257</v>
      </c>
      <c r="J11" s="20"/>
      <c r="K11" s="20">
        <f>('Cashflow '!D9+'Cashflow '!D10+'Cashflow '!D11+'Cashflow '!D12+-'Cashflow '!C9-'Cashflow '!C10-'Cashflow '!C11-'Cashflow '!C12)/('Cashflow '!C9+'Cashflow '!C10+'Cashflow '!C11+'Cashflow '!C12)</f>
        <v>-0.964706152328063</v>
      </c>
    </row>
    <row r="12" ht="20.05" customHeight="1">
      <c r="B12" s="26"/>
      <c r="C12" s="13">
        <v>975.3</v>
      </c>
      <c r="D12" s="14"/>
      <c r="E12" s="14">
        <v>126.2</v>
      </c>
      <c r="F12" s="16">
        <v>-44.4</v>
      </c>
      <c r="G12" s="12">
        <f>C12/C11-1</f>
        <v>-0.0214708538175981</v>
      </c>
      <c r="H12" s="12">
        <f>(E12+F12-C12)/C12</f>
        <v>-0.916128370757716</v>
      </c>
      <c r="I12" s="20">
        <f>AVERAGE(H9:H12)</f>
        <v>-0.906841017155835</v>
      </c>
      <c r="J12" s="20"/>
      <c r="K12" s="20">
        <f>('Cashflow '!D10+'Cashflow '!D11+'Cashflow '!D12+'Cashflow '!D13+-'Cashflow '!C10-'Cashflow '!C11-'Cashflow '!C12-'Cashflow '!C13)/('Cashflow '!C10+'Cashflow '!C11+'Cashflow '!C12+'Cashflow '!C13)</f>
        <v>-0.975478413608209</v>
      </c>
    </row>
    <row r="13" ht="20.05" customHeight="1">
      <c r="B13" s="26"/>
      <c r="C13" s="13">
        <v>1171.1</v>
      </c>
      <c r="D13" s="14"/>
      <c r="E13" s="14">
        <v>129.6</v>
      </c>
      <c r="F13" s="16">
        <v>-50.7</v>
      </c>
      <c r="G13" s="12">
        <f>C13/C12-1</f>
        <v>0.200758740900236</v>
      </c>
      <c r="H13" s="12">
        <f>(E13+F13-C13)/C13</f>
        <v>-0.932627444283153</v>
      </c>
      <c r="I13" s="20">
        <f>AVERAGE(H10:H13)</f>
        <v>-0.896816996479611</v>
      </c>
      <c r="J13" s="20"/>
      <c r="K13" s="20">
        <f>('Cashflow '!D11+'Cashflow '!D12+'Cashflow '!D13+'Cashflow '!D14+-'Cashflow '!C11-'Cashflow '!C12-'Cashflow '!C13-'Cashflow '!C14)/('Cashflow '!C11+'Cashflow '!C12+'Cashflow '!C13+'Cashflow '!C14)</f>
        <v>-0.984299319091186</v>
      </c>
    </row>
    <row r="14" ht="20.05" customHeight="1">
      <c r="B14" s="26"/>
      <c r="C14" s="13">
        <v>1146.7</v>
      </c>
      <c r="D14" s="14"/>
      <c r="E14" s="14">
        <v>119</v>
      </c>
      <c r="F14" s="16">
        <v>-20.8</v>
      </c>
      <c r="G14" s="12">
        <f>C14/C13-1</f>
        <v>-0.0208351122875929</v>
      </c>
      <c r="H14" s="12">
        <f>(E14+F14-C14)/C14</f>
        <v>-0.9143629545652741</v>
      </c>
      <c r="I14" s="20">
        <f>AVERAGE(H11:H14)</f>
        <v>-0.918079782699519</v>
      </c>
      <c r="J14" s="20"/>
      <c r="K14" s="20">
        <f>('Cashflow '!D12+'Cashflow '!D13+'Cashflow '!D14+'Cashflow '!D15+-'Cashflow '!C12-'Cashflow '!C13-'Cashflow '!C14-'Cashflow '!C15)/('Cashflow '!C12+'Cashflow '!C13+'Cashflow '!C14+'Cashflow '!C15)</f>
        <v>-1.01069267926652</v>
      </c>
    </row>
    <row r="15" ht="20.05" customHeight="1">
      <c r="B15" s="27">
        <v>2020</v>
      </c>
      <c r="C15" s="13">
        <v>1056.2</v>
      </c>
      <c r="D15" s="14"/>
      <c r="E15" s="14">
        <v>159.9</v>
      </c>
      <c r="F15" s="16">
        <v>-581.6</v>
      </c>
      <c r="G15" s="12">
        <f>C15/C14-1</f>
        <v>-0.0789221243568501</v>
      </c>
      <c r="H15" s="12">
        <f>(E15+F15-C15)/C15</f>
        <v>-1.39926150350312</v>
      </c>
      <c r="I15" s="20">
        <f>AVERAGE(H12:H15)</f>
        <v>-1.04059506827732</v>
      </c>
      <c r="J15" s="20"/>
      <c r="K15" s="20">
        <f>('Cashflow '!D13+'Cashflow '!D14+'Cashflow '!D15+'Cashflow '!D16+-'Cashflow '!C13-'Cashflow '!C14-'Cashflow '!C15-'Cashflow '!C16)/('Cashflow '!C13+'Cashflow '!C14+'Cashflow '!C15+'Cashflow '!C16)</f>
        <v>-0.959620883682317</v>
      </c>
    </row>
    <row r="16" ht="20.05" customHeight="1">
      <c r="B16" s="26"/>
      <c r="C16" s="13">
        <v>580.8</v>
      </c>
      <c r="D16" s="14"/>
      <c r="E16" s="14">
        <v>110.5</v>
      </c>
      <c r="F16" s="16">
        <v>194.6</v>
      </c>
      <c r="G16" s="12">
        <f>C16/C15-1</f>
        <v>-0.450104146941867</v>
      </c>
      <c r="H16" s="12">
        <f>(E16+F16-C16)/C16</f>
        <v>-0.474690082644628</v>
      </c>
      <c r="I16" s="20">
        <f>AVERAGE(H13:H16)</f>
        <v>-0.930235496249044</v>
      </c>
      <c r="J16" s="20"/>
      <c r="K16" s="20">
        <f>('Cashflow '!D14+'Cashflow '!D15+'Cashflow '!D16+'Cashflow '!D17+-'Cashflow '!C14-'Cashflow '!C15-'Cashflow '!C16-'Cashflow '!C17)/('Cashflow '!C14+'Cashflow '!C15+'Cashflow '!C16+'Cashflow '!C17)</f>
        <v>-1.0130078888147</v>
      </c>
    </row>
    <row r="17" ht="20.05" customHeight="1">
      <c r="B17" s="26"/>
      <c r="C17" s="13">
        <v>991.1</v>
      </c>
      <c r="D17" s="14"/>
      <c r="E17" s="14">
        <v>135.8</v>
      </c>
      <c r="F17" s="16">
        <v>-266.2</v>
      </c>
      <c r="G17" s="12">
        <f>C17/C16-1</f>
        <v>0.706439393939394</v>
      </c>
      <c r="H17" s="12">
        <f>(E17+F17-C17)/C17</f>
        <v>-1.13157098173746</v>
      </c>
      <c r="I17" s="20">
        <f>AVERAGE(H14:H17)</f>
        <v>-0.979971380612621</v>
      </c>
      <c r="J17" s="20"/>
      <c r="K17" s="20">
        <f>('Cashflow '!D15+'Cashflow '!D16+'Cashflow '!D17+'Cashflow '!D18+-'Cashflow '!C15-'Cashflow '!C16-'Cashflow '!C17-'Cashflow '!C18)/('Cashflow '!C15+'Cashflow '!C16+'Cashflow '!C17+'Cashflow '!C18)</f>
        <v>-0.9549492217537719</v>
      </c>
    </row>
    <row r="18" ht="20.05" customHeight="1">
      <c r="B18" s="26"/>
      <c r="C18" s="13">
        <v>1139.7</v>
      </c>
      <c r="D18" s="14"/>
      <c r="E18" s="14">
        <v>143.2</v>
      </c>
      <c r="F18" s="16">
        <v>222.2</v>
      </c>
      <c r="G18" s="12">
        <f>C18/C17-1</f>
        <v>0.149934416305116</v>
      </c>
      <c r="H18" s="12">
        <f>(E18+F18-C18)/C18</f>
        <v>-0.679389312977099</v>
      </c>
      <c r="I18" s="20">
        <f>AVERAGE(H15:H18)</f>
        <v>-0.921227970215577</v>
      </c>
      <c r="J18" s="20"/>
      <c r="K18" s="20">
        <f>('Cashflow '!D16+'Cashflow '!D17+'Cashflow '!D18+'Cashflow '!D19+-'Cashflow '!C16-'Cashflow '!C17-'Cashflow '!C18-'Cashflow '!C19)/('Cashflow '!C16+'Cashflow '!C17+'Cashflow '!C18+'Cashflow '!C19)</f>
        <v>-0.850178831633329</v>
      </c>
    </row>
    <row r="19" ht="20.05" customHeight="1">
      <c r="B19" s="27">
        <v>2021</v>
      </c>
      <c r="C19" s="13">
        <v>1164.3</v>
      </c>
      <c r="D19" s="14"/>
      <c r="E19" s="16">
        <f t="shared" si="51" ref="E19:E20">121.1+6.6</f>
        <v>127.7</v>
      </c>
      <c r="F19" s="16">
        <v>0.3</v>
      </c>
      <c r="G19" s="12">
        <f>C19/C18-1</f>
        <v>0.0215846275335615</v>
      </c>
      <c r="H19" s="12">
        <f>(E19+F19-C19)/C19</f>
        <v>-0.890062698617195</v>
      </c>
      <c r="I19" s="20">
        <f>AVERAGE(H16:H19)</f>
        <v>-0.793928268994096</v>
      </c>
      <c r="J19" s="20"/>
      <c r="K19" s="20">
        <f>('Cashflow '!D17+'Cashflow '!D18+'Cashflow '!D19+'Cashflow '!D20+-'Cashflow '!C17-'Cashflow '!C18-'Cashflow '!C19-'Cashflow '!C20)/('Cashflow '!C17+'Cashflow '!C18+'Cashflow '!C19+'Cashflow '!C20)</f>
        <v>-0.825101505884772</v>
      </c>
    </row>
    <row r="20" ht="20.05" customHeight="1">
      <c r="B20" s="26"/>
      <c r="C20" s="13">
        <v>1102.7</v>
      </c>
      <c r="D20" s="14">
        <v>1222.515</v>
      </c>
      <c r="E20" s="16">
        <f t="shared" si="51"/>
        <v>127.7</v>
      </c>
      <c r="F20" s="16">
        <v>25</v>
      </c>
      <c r="G20" s="12">
        <f>C20/C19-1</f>
        <v>-0.052907326290475</v>
      </c>
      <c r="H20" s="12">
        <f>(E20+F20-C20)/C20</f>
        <v>-0.861521719415979</v>
      </c>
      <c r="I20" s="20">
        <f>AVERAGE(H17:H20)</f>
        <v>-0.890636178186933</v>
      </c>
      <c r="J20" s="20"/>
      <c r="K20" s="20">
        <f>('Cashflow '!D18+'Cashflow '!D19+'Cashflow '!D20+'Cashflow '!D21+-'Cashflow '!C18-'Cashflow '!C19-'Cashflow '!C20-'Cashflow '!C21)/('Cashflow '!C18+'Cashflow '!C19+'Cashflow '!C20+'Cashflow '!C21)</f>
        <v>-0.768812650007059</v>
      </c>
    </row>
    <row r="21" ht="20.05" customHeight="1">
      <c r="B21" s="26"/>
      <c r="C21" s="13">
        <f>3482.4-SUM(C19:C20)</f>
        <v>1215.4</v>
      </c>
      <c r="D21" s="14">
        <v>1290.159</v>
      </c>
      <c r="E21" s="16">
        <f>387.9+18.2-SUM(E19:E20)</f>
        <v>150.7</v>
      </c>
      <c r="F21" s="16">
        <f>194.8-SUM(F19:F20)</f>
        <v>169.5</v>
      </c>
      <c r="G21" s="12">
        <f>C21/C20-1</f>
        <v>0.102203681871769</v>
      </c>
      <c r="H21" s="12">
        <f>(E21+F21-C21)/C21</f>
        <v>-0.736547638637486</v>
      </c>
      <c r="I21" s="20">
        <f>AVERAGE(H18:H21)</f>
        <v>-0.7918803424119401</v>
      </c>
      <c r="J21" s="20"/>
      <c r="K21" s="20">
        <f>('Cashflow '!D19+'Cashflow '!D20+'Cashflow '!D21+'Cashflow '!D22+-'Cashflow '!C19-'Cashflow '!C20-'Cashflow '!C21-'Cashflow '!C22)/('Cashflow '!C19+'Cashflow '!C20+'Cashflow '!C21+'Cashflow '!C22)</f>
        <v>-0.761271328490996</v>
      </c>
    </row>
    <row r="22" ht="20.05" customHeight="1">
      <c r="B22" s="26"/>
      <c r="C22" s="13">
        <f>4748.1-SUM(C19:C21)</f>
        <v>1265.7</v>
      </c>
      <c r="D22" s="14">
        <v>1203.246</v>
      </c>
      <c r="E22" s="16">
        <f>513.4+31.7-SUM(E19:E21)</f>
        <v>139</v>
      </c>
      <c r="F22" s="16">
        <f>318.7-SUM(F19:F21)</f>
        <v>123.9</v>
      </c>
      <c r="G22" s="12">
        <f>C22/C21-1</f>
        <v>0.0413855520816192</v>
      </c>
      <c r="H22" s="12">
        <f>(E22+F22-C22)/C22</f>
        <v>-0.792288852018646</v>
      </c>
      <c r="I22" s="20">
        <f>AVERAGE(H19:H22)</f>
        <v>-0.820105227172327</v>
      </c>
      <c r="J22" s="20">
        <f>I22</f>
        <v>-0.820105227172327</v>
      </c>
      <c r="K22" s="20">
        <f>('Cashflow '!D20+'Cashflow '!D21+'Cashflow '!D22+'Cashflow '!D23+-'Cashflow '!C20-'Cashflow '!C21-'Cashflow '!C22-'Cashflow '!C23)/('Cashflow '!C20+'Cashflow '!C21+'Cashflow '!C22+'Cashflow '!C23)</f>
        <v>-0.783906236705522</v>
      </c>
    </row>
    <row r="23" ht="20.05" customHeight="1">
      <c r="B23" s="27">
        <v>2022</v>
      </c>
      <c r="C23" s="13"/>
      <c r="D23" s="14">
        <f>'Model'!C6</f>
        <v>1253.043</v>
      </c>
      <c r="E23" s="16"/>
      <c r="F23" s="16"/>
      <c r="G23" s="28"/>
      <c r="H23" s="18"/>
      <c r="I23" s="12"/>
      <c r="J23" s="12">
        <f>'Model'!C7</f>
        <v>-0.792288852018646</v>
      </c>
      <c r="K23" s="12"/>
    </row>
    <row r="24" ht="20.05" customHeight="1">
      <c r="B24" s="26"/>
      <c r="C24" s="13"/>
      <c r="D24" s="14">
        <f>'Model'!D6</f>
        <v>1315.69515</v>
      </c>
      <c r="E24" s="16"/>
      <c r="F24" s="16"/>
      <c r="G24" s="28"/>
      <c r="H24" s="12"/>
      <c r="I24" s="12"/>
      <c r="J24" s="12"/>
      <c r="K24" s="12"/>
    </row>
    <row r="25" ht="20.05" customHeight="1">
      <c r="B25" s="26"/>
      <c r="C25" s="13"/>
      <c r="D25" s="14">
        <f>'Model'!E6</f>
        <v>1342.009053</v>
      </c>
      <c r="E25" s="16"/>
      <c r="F25" s="16"/>
      <c r="G25" s="28"/>
      <c r="H25" s="12"/>
      <c r="I25" s="12"/>
      <c r="J25" s="12"/>
      <c r="K25" s="12"/>
    </row>
    <row r="26" ht="20.05" customHeight="1">
      <c r="B26" s="26"/>
      <c r="C26" s="13"/>
      <c r="D26" s="14">
        <f>'Model'!F6</f>
        <v>1409.10950565</v>
      </c>
      <c r="E26" s="16"/>
      <c r="F26" s="16"/>
      <c r="G26" s="28"/>
      <c r="H26" s="12"/>
      <c r="I26" s="12"/>
      <c r="J26" s="12"/>
      <c r="K26" s="12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9.5625" style="29" customWidth="1"/>
    <col min="3" max="15" width="10.3672" style="29" customWidth="1"/>
    <col min="16" max="16384" width="16.3516" style="29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10</v>
      </c>
      <c r="G3" t="s" s="5">
        <v>47</v>
      </c>
      <c r="H3" t="s" s="5">
        <v>48</v>
      </c>
      <c r="I3" t="s" s="5">
        <v>11</v>
      </c>
      <c r="J3" t="s" s="5">
        <v>49</v>
      </c>
      <c r="K3" t="s" s="5">
        <v>32</v>
      </c>
      <c r="L3" t="s" s="5">
        <v>34</v>
      </c>
      <c r="M3" t="s" s="5">
        <v>28</v>
      </c>
      <c r="N3" t="s" s="5">
        <v>34</v>
      </c>
      <c r="O3" t="s" s="5">
        <v>50</v>
      </c>
    </row>
    <row r="4" ht="21.2" customHeight="1">
      <c r="B4" s="22">
        <v>2017</v>
      </c>
      <c r="C4" s="30">
        <v>976.7</v>
      </c>
      <c r="D4" s="25">
        <v>17.3</v>
      </c>
      <c r="E4" s="25">
        <v>-149.4</v>
      </c>
      <c r="F4" s="25">
        <v>0</v>
      </c>
      <c r="G4" s="25"/>
      <c r="H4" s="25"/>
      <c r="I4" s="25">
        <v>107.1</v>
      </c>
      <c r="J4" s="31">
        <f>D4+E4+F4</f>
        <v>-132.1</v>
      </c>
      <c r="K4" s="31">
        <f>AVERAGE(J4:J4)</f>
        <v>-132.1</v>
      </c>
      <c r="L4" s="25"/>
      <c r="M4" s="25">
        <f>-(I4-F4)</f>
        <v>-107.1</v>
      </c>
      <c r="N4" s="25"/>
      <c r="O4" s="25">
        <v>1</v>
      </c>
    </row>
    <row r="5" ht="21.2" customHeight="1">
      <c r="B5" s="26"/>
      <c r="C5" s="15">
        <v>859.9</v>
      </c>
      <c r="D5" s="16">
        <v>-34</v>
      </c>
      <c r="E5" s="16">
        <v>-103.5</v>
      </c>
      <c r="F5" s="16">
        <v>0</v>
      </c>
      <c r="G5" s="16"/>
      <c r="H5" s="16"/>
      <c r="I5" s="16">
        <v>98</v>
      </c>
      <c r="J5" s="32">
        <f>D5+E5+F5</f>
        <v>-137.5</v>
      </c>
      <c r="K5" s="32">
        <f>AVERAGE(J4:J5)</f>
        <v>-134.8</v>
      </c>
      <c r="L5" s="16"/>
      <c r="M5" s="16">
        <f>-(I5-F5)+M4</f>
        <v>-205.1</v>
      </c>
      <c r="N5" s="16"/>
      <c r="O5" s="16">
        <f>1+O4</f>
        <v>2</v>
      </c>
    </row>
    <row r="6" ht="21.2" customHeight="1">
      <c r="B6" s="26"/>
      <c r="C6" s="15">
        <v>1153.9</v>
      </c>
      <c r="D6" s="16">
        <v>168.7</v>
      </c>
      <c r="E6" s="16">
        <v>-515.3</v>
      </c>
      <c r="F6" s="16">
        <v>0</v>
      </c>
      <c r="G6" s="16"/>
      <c r="H6" s="16"/>
      <c r="I6" s="16">
        <v>329.6</v>
      </c>
      <c r="J6" s="32">
        <f>D6+E6+F6</f>
        <v>-346.6</v>
      </c>
      <c r="K6" s="32">
        <f>AVERAGE(J4:J6)</f>
        <v>-205.4</v>
      </c>
      <c r="L6" s="16"/>
      <c r="M6" s="16">
        <f>-(I6-F6)+M5</f>
        <v>-534.7</v>
      </c>
      <c r="N6" s="16"/>
      <c r="O6" s="16">
        <f>1+O5</f>
        <v>3</v>
      </c>
    </row>
    <row r="7" ht="21.2" customHeight="1">
      <c r="B7" s="26"/>
      <c r="C7" s="15">
        <v>892.4</v>
      </c>
      <c r="D7" s="16">
        <v>147.1</v>
      </c>
      <c r="E7" s="16">
        <v>-249.6</v>
      </c>
      <c r="F7" s="16">
        <v>0</v>
      </c>
      <c r="G7" s="16"/>
      <c r="H7" s="16"/>
      <c r="I7" s="16">
        <v>208.2</v>
      </c>
      <c r="J7" s="32">
        <f>D7+E7+F7</f>
        <v>-102.5</v>
      </c>
      <c r="K7" s="32">
        <f>AVERAGE(J4:J7)</f>
        <v>-179.675</v>
      </c>
      <c r="L7" s="16"/>
      <c r="M7" s="16">
        <f>-(I7-F7)+M6</f>
        <v>-742.9</v>
      </c>
      <c r="N7" s="16"/>
      <c r="O7" s="16">
        <f>1+O6</f>
        <v>4</v>
      </c>
    </row>
    <row r="8" ht="21.2" customHeight="1">
      <c r="B8" s="27">
        <v>2018</v>
      </c>
      <c r="C8" s="15">
        <v>1096.6</v>
      </c>
      <c r="D8" s="16">
        <v>33.4</v>
      </c>
      <c r="E8" s="16">
        <v>-348.1</v>
      </c>
      <c r="F8" s="16">
        <v>0</v>
      </c>
      <c r="G8" s="16"/>
      <c r="H8" s="16"/>
      <c r="I8" s="16">
        <v>208.9</v>
      </c>
      <c r="J8" s="32">
        <f>D8+E8+F8</f>
        <v>-314.7</v>
      </c>
      <c r="K8" s="32">
        <f>AVERAGE(J5:J8)</f>
        <v>-225.325</v>
      </c>
      <c r="L8" s="16"/>
      <c r="M8" s="16">
        <f>-(I8-F8)+M7</f>
        <v>-951.8</v>
      </c>
      <c r="N8" s="16"/>
      <c r="O8" s="16">
        <f>1+O7</f>
        <v>5</v>
      </c>
    </row>
    <row r="9" ht="21.2" customHeight="1">
      <c r="B9" s="26"/>
      <c r="C9" s="15">
        <v>1120.6</v>
      </c>
      <c r="D9" s="16">
        <v>-34.7</v>
      </c>
      <c r="E9" s="16">
        <v>-475.5</v>
      </c>
      <c r="F9" s="16">
        <v>0</v>
      </c>
      <c r="G9" s="16"/>
      <c r="H9" s="16"/>
      <c r="I9" s="16">
        <v>522.4</v>
      </c>
      <c r="J9" s="32">
        <f>D9+E9+F9</f>
        <v>-510.2</v>
      </c>
      <c r="K9" s="32">
        <f>AVERAGE(J6:J9)</f>
        <v>-318.5</v>
      </c>
      <c r="L9" s="16"/>
      <c r="M9" s="16">
        <f>-(I9-F9)+M8</f>
        <v>-1474.2</v>
      </c>
      <c r="N9" s="16"/>
      <c r="O9" s="16">
        <f>1+O8</f>
        <v>6</v>
      </c>
    </row>
    <row r="10" ht="21.2" customHeight="1">
      <c r="B10" s="26"/>
      <c r="C10" s="15">
        <v>1195.8</v>
      </c>
      <c r="D10" s="16">
        <v>85.40000000000001</v>
      </c>
      <c r="E10" s="16">
        <v>-498.9</v>
      </c>
      <c r="F10" s="16">
        <v>0</v>
      </c>
      <c r="G10" s="16"/>
      <c r="H10" s="16"/>
      <c r="I10" s="16">
        <v>482.1</v>
      </c>
      <c r="J10" s="32">
        <f>D10+E10+F10</f>
        <v>-413.5</v>
      </c>
      <c r="K10" s="32">
        <f>AVERAGE(J7:J10)</f>
        <v>-335.225</v>
      </c>
      <c r="L10" s="16"/>
      <c r="M10" s="16">
        <f>-(I10-F10)+M9</f>
        <v>-1956.3</v>
      </c>
      <c r="N10" s="16"/>
      <c r="O10" s="16">
        <f>1+O9</f>
        <v>7</v>
      </c>
    </row>
    <row r="11" ht="21.2" customHeight="1">
      <c r="B11" s="26"/>
      <c r="C11" s="15">
        <v>998.4</v>
      </c>
      <c r="D11" s="16">
        <v>132.7</v>
      </c>
      <c r="E11" s="16">
        <v>-589</v>
      </c>
      <c r="F11" s="16">
        <v>0</v>
      </c>
      <c r="G11" s="16"/>
      <c r="H11" s="16"/>
      <c r="I11" s="16">
        <v>423.9</v>
      </c>
      <c r="J11" s="32">
        <f>D11+E11+F11</f>
        <v>-456.3</v>
      </c>
      <c r="K11" s="32">
        <f>AVERAGE(J8:J11)</f>
        <v>-423.675</v>
      </c>
      <c r="L11" s="16"/>
      <c r="M11" s="16">
        <f>-(I11-F11)+M10</f>
        <v>-2380.2</v>
      </c>
      <c r="N11" s="16"/>
      <c r="O11" s="16">
        <f>1+O10</f>
        <v>8</v>
      </c>
    </row>
    <row r="12" ht="21.2" customHeight="1">
      <c r="B12" s="27">
        <v>2019</v>
      </c>
      <c r="C12" s="15">
        <v>1042.9</v>
      </c>
      <c r="D12" s="16">
        <v>-29.6</v>
      </c>
      <c r="E12" s="16">
        <v>-436.8</v>
      </c>
      <c r="F12" s="16">
        <v>0</v>
      </c>
      <c r="G12" s="16"/>
      <c r="H12" s="16"/>
      <c r="I12" s="16">
        <v>518.2</v>
      </c>
      <c r="J12" s="32">
        <f>D12+E12+F12</f>
        <v>-466.4</v>
      </c>
      <c r="K12" s="32">
        <f>AVERAGE(J9:J12)</f>
        <v>-461.6</v>
      </c>
      <c r="L12" s="16"/>
      <c r="M12" s="16">
        <f>-(I12-F12)+M11</f>
        <v>-2898.4</v>
      </c>
      <c r="N12" s="16"/>
      <c r="O12" s="16">
        <f>1+O11</f>
        <v>9</v>
      </c>
    </row>
    <row r="13" ht="21.2" customHeight="1">
      <c r="B13" s="26"/>
      <c r="C13" s="15">
        <v>1089.7</v>
      </c>
      <c r="D13" s="16">
        <v>-82.40000000000001</v>
      </c>
      <c r="E13" s="16">
        <v>53.6</v>
      </c>
      <c r="F13" s="16">
        <v>0</v>
      </c>
      <c r="G13" s="16"/>
      <c r="H13" s="16"/>
      <c r="I13" s="16">
        <v>-13</v>
      </c>
      <c r="J13" s="32">
        <f>D13+E13+F13</f>
        <v>-28.8</v>
      </c>
      <c r="K13" s="32">
        <f>AVERAGE(J10:J13)</f>
        <v>-341.25</v>
      </c>
      <c r="L13" s="16"/>
      <c r="M13" s="16">
        <f>-(I13-F13)+M12</f>
        <v>-2885.4</v>
      </c>
      <c r="N13" s="16"/>
      <c r="O13" s="16">
        <f>1+O12</f>
        <v>10</v>
      </c>
    </row>
    <row r="14" ht="21.2" customHeight="1">
      <c r="B14" s="26"/>
      <c r="C14" s="15">
        <v>1142.7</v>
      </c>
      <c r="D14" s="16">
        <v>46.4</v>
      </c>
      <c r="E14" s="16">
        <v>-459.8</v>
      </c>
      <c r="F14" s="16">
        <v>0</v>
      </c>
      <c r="G14" s="16"/>
      <c r="H14" s="16"/>
      <c r="I14" s="16">
        <v>376</v>
      </c>
      <c r="J14" s="32">
        <f>D14+E14+F14</f>
        <v>-413.4</v>
      </c>
      <c r="K14" s="32">
        <f>AVERAGE(J11:J14)</f>
        <v>-341.225</v>
      </c>
      <c r="L14" s="16"/>
      <c r="M14" s="16">
        <f>-(I14-F14)+M13</f>
        <v>-3261.4</v>
      </c>
      <c r="N14" s="16"/>
      <c r="O14" s="16">
        <f>1+O13</f>
        <v>11</v>
      </c>
    </row>
    <row r="15" ht="21.2" customHeight="1">
      <c r="B15" s="26"/>
      <c r="C15" s="15">
        <v>989.3</v>
      </c>
      <c r="D15" s="16">
        <v>20</v>
      </c>
      <c r="E15" s="16">
        <v>-120.2</v>
      </c>
      <c r="F15" s="16">
        <v>0</v>
      </c>
      <c r="G15" s="16"/>
      <c r="H15" s="16"/>
      <c r="I15" s="16">
        <v>128.3</v>
      </c>
      <c r="J15" s="32">
        <f>D15+E15+F15</f>
        <v>-100.2</v>
      </c>
      <c r="K15" s="32">
        <f>AVERAGE(J12:J15)</f>
        <v>-252.2</v>
      </c>
      <c r="L15" s="16"/>
      <c r="M15" s="16">
        <f>-(I15-F15)+M14</f>
        <v>-3389.7</v>
      </c>
      <c r="N15" s="16"/>
      <c r="O15" s="16">
        <f>1+O14</f>
        <v>12</v>
      </c>
    </row>
    <row r="16" ht="21.2" customHeight="1">
      <c r="B16" s="27">
        <v>2020</v>
      </c>
      <c r="C16" s="15">
        <v>1114.7</v>
      </c>
      <c r="D16" s="16">
        <v>191.1</v>
      </c>
      <c r="E16" s="16">
        <v>-97</v>
      </c>
      <c r="F16" s="16">
        <v>-9.800000000000001</v>
      </c>
      <c r="G16" s="16">
        <f>I16-F16</f>
        <v>-57.5</v>
      </c>
      <c r="H16" s="16">
        <f t="shared" si="48" ref="H16:H23">0</f>
        <v>0</v>
      </c>
      <c r="I16" s="16">
        <v>-67.3</v>
      </c>
      <c r="J16" s="32">
        <f>D16+E16+F16</f>
        <v>84.3</v>
      </c>
      <c r="K16" s="32">
        <f>AVERAGE(J13:J16)</f>
        <v>-114.525</v>
      </c>
      <c r="L16" s="16"/>
      <c r="M16" s="16">
        <f>-(I16-F16)+M15</f>
        <v>-3332.2</v>
      </c>
      <c r="N16" s="16"/>
      <c r="O16" s="16">
        <f>1+O15</f>
        <v>13</v>
      </c>
    </row>
    <row r="17" ht="21.2" customHeight="1">
      <c r="B17" s="26"/>
      <c r="C17" s="15">
        <v>797</v>
      </c>
      <c r="D17" s="16">
        <v>-310.1</v>
      </c>
      <c r="E17" s="16">
        <v>-40</v>
      </c>
      <c r="F17" s="16">
        <v>9.800000000000001</v>
      </c>
      <c r="G17" s="16">
        <f>I17-F17</f>
        <v>206.1</v>
      </c>
      <c r="H17" s="16">
        <f t="shared" si="48"/>
        <v>0</v>
      </c>
      <c r="I17" s="16">
        <v>215.9</v>
      </c>
      <c r="J17" s="32">
        <f>D17+E17+F17</f>
        <v>-340.3</v>
      </c>
      <c r="K17" s="32">
        <f>AVERAGE(J14:J17)</f>
        <v>-192.4</v>
      </c>
      <c r="L17" s="16"/>
      <c r="M17" s="16">
        <f>-(I17-F17)+M16</f>
        <v>-3538.3</v>
      </c>
      <c r="N17" s="16"/>
      <c r="O17" s="16">
        <f>1+O16</f>
        <v>14</v>
      </c>
    </row>
    <row r="18" ht="21.2" customHeight="1">
      <c r="B18" s="26"/>
      <c r="C18" s="15">
        <v>870.3</v>
      </c>
      <c r="D18" s="16">
        <v>268.9</v>
      </c>
      <c r="E18" s="16">
        <v>-19.7</v>
      </c>
      <c r="F18" s="16">
        <v>0</v>
      </c>
      <c r="G18" s="16">
        <f>I18-F18</f>
        <v>-102.4</v>
      </c>
      <c r="H18" s="16">
        <f t="shared" si="48"/>
        <v>0</v>
      </c>
      <c r="I18" s="16">
        <v>-102.4</v>
      </c>
      <c r="J18" s="32">
        <f>D18+E18+F18</f>
        <v>249.2</v>
      </c>
      <c r="K18" s="32">
        <f>AVERAGE(J15:J18)</f>
        <v>-26.75</v>
      </c>
      <c r="L18" s="16"/>
      <c r="M18" s="16">
        <f>-(I18-F18)+M17</f>
        <v>-3435.9</v>
      </c>
      <c r="N18" s="16"/>
      <c r="O18" s="16">
        <f>1+O17</f>
        <v>15</v>
      </c>
    </row>
    <row r="19" ht="21.2" customHeight="1">
      <c r="B19" s="26"/>
      <c r="C19" s="15">
        <v>992.5</v>
      </c>
      <c r="D19" s="16">
        <v>415.6</v>
      </c>
      <c r="E19" s="16">
        <v>10.6</v>
      </c>
      <c r="F19" s="16">
        <v>-29.8</v>
      </c>
      <c r="G19" s="16">
        <f>I19-F19</f>
        <v>-431.1</v>
      </c>
      <c r="H19" s="16">
        <f t="shared" si="48"/>
        <v>0</v>
      </c>
      <c r="I19" s="16">
        <v>-460.9</v>
      </c>
      <c r="J19" s="32">
        <f>D19+E19+F19</f>
        <v>396.4</v>
      </c>
      <c r="K19" s="32">
        <f>AVERAGE(J16:J19)</f>
        <v>97.40000000000001</v>
      </c>
      <c r="L19" s="16"/>
      <c r="M19" s="16">
        <f>-(I19-F19)+M18</f>
        <v>-3004.8</v>
      </c>
      <c r="N19" s="16"/>
      <c r="O19" s="16">
        <f>1+O18</f>
        <v>16</v>
      </c>
    </row>
    <row r="20" ht="21.2" customHeight="1">
      <c r="B20" s="27">
        <v>2021</v>
      </c>
      <c r="C20" s="15">
        <v>1231.6</v>
      </c>
      <c r="D20" s="16">
        <v>306.2</v>
      </c>
      <c r="E20" s="16">
        <v>-17.2</v>
      </c>
      <c r="F20" s="16">
        <v>-7.2</v>
      </c>
      <c r="G20" s="16">
        <f>I20-F20</f>
        <v>-413.6</v>
      </c>
      <c r="H20" s="16">
        <f t="shared" si="48"/>
        <v>0</v>
      </c>
      <c r="I20" s="16">
        <v>-420.8</v>
      </c>
      <c r="J20" s="32">
        <f>D20+E20+F20</f>
        <v>281.8</v>
      </c>
      <c r="K20" s="32">
        <f>AVERAGE(J17:J20)</f>
        <v>146.775</v>
      </c>
      <c r="L20" s="16"/>
      <c r="M20" s="16">
        <f>-(I20-F20)+M19</f>
        <v>-2591.2</v>
      </c>
      <c r="N20" s="16"/>
      <c r="O20" s="16">
        <f>1+O19</f>
        <v>17</v>
      </c>
    </row>
    <row r="21" ht="21.2" customHeight="1">
      <c r="B21" s="26"/>
      <c r="C21" s="15">
        <v>1155.4</v>
      </c>
      <c r="D21" s="16">
        <v>-8.199999999999999</v>
      </c>
      <c r="E21" s="16">
        <v>-13.8</v>
      </c>
      <c r="F21" s="16">
        <v>-5.8</v>
      </c>
      <c r="G21" s="16">
        <f>I21-F21</f>
        <v>-0.4</v>
      </c>
      <c r="H21" s="16">
        <f t="shared" si="48"/>
        <v>0</v>
      </c>
      <c r="I21" s="16">
        <v>-6.2</v>
      </c>
      <c r="J21" s="32">
        <f>D21+E21+F21</f>
        <v>-27.8</v>
      </c>
      <c r="K21" s="32">
        <f>AVERAGE(J18:J21)</f>
        <v>224.9</v>
      </c>
      <c r="L21" s="16"/>
      <c r="M21" s="16">
        <f>-(I21-F21)+M20</f>
        <v>-2590.8</v>
      </c>
      <c r="N21" s="16"/>
      <c r="O21" s="16">
        <f>1+O20</f>
        <v>18</v>
      </c>
    </row>
    <row r="22" ht="21.2" customHeight="1">
      <c r="B22" s="26"/>
      <c r="C22" s="15">
        <f>3660.9-SUM(C20:C21)</f>
        <v>1273.9</v>
      </c>
      <c r="D22" s="16">
        <f>695.3-SUM(D20:D21)</f>
        <v>397.3</v>
      </c>
      <c r="E22" s="16">
        <f>-48-SUM(E20:E21)</f>
        <v>-17</v>
      </c>
      <c r="F22" s="16">
        <f>-15.5-SUM(F20:F21)</f>
        <v>-2.5</v>
      </c>
      <c r="G22" s="16">
        <f>I22-F22</f>
        <v>-369.7</v>
      </c>
      <c r="H22" s="16">
        <f t="shared" si="48"/>
        <v>0</v>
      </c>
      <c r="I22" s="16">
        <f>-799.2-SUM(I20:I21)</f>
        <v>-372.2</v>
      </c>
      <c r="J22" s="32">
        <f>D22+E22+F22</f>
        <v>377.8</v>
      </c>
      <c r="K22" s="32">
        <f>AVERAGE(J19:J22)</f>
        <v>257.05</v>
      </c>
      <c r="L22" s="16"/>
      <c r="M22" s="16">
        <f>-(I22-F22)+M21</f>
        <v>-2221.1</v>
      </c>
      <c r="N22" s="16"/>
      <c r="O22" s="16">
        <f>1+O21</f>
        <v>19</v>
      </c>
    </row>
    <row r="23" ht="21.2" customHeight="1">
      <c r="B23" s="26"/>
      <c r="C23" s="15">
        <f>4701.2-SUM(C20:C22)</f>
        <v>1040.3</v>
      </c>
      <c r="D23" s="16">
        <f>1015.9-SUM(D20:D22)</f>
        <v>320.6</v>
      </c>
      <c r="E23" s="16">
        <f>-81.7-SUM(E20:E22)</f>
        <v>-33.7</v>
      </c>
      <c r="F23" s="16">
        <f>-35-SUM(F20:F22)</f>
        <v>-19.5</v>
      </c>
      <c r="G23" s="16">
        <f>I23-F23</f>
        <v>-282.5</v>
      </c>
      <c r="H23" s="16">
        <f t="shared" si="48"/>
        <v>0</v>
      </c>
      <c r="I23" s="16">
        <f>-1101.2-SUM(I20:I22)</f>
        <v>-302</v>
      </c>
      <c r="J23" s="32">
        <f>D23+E23+F23</f>
        <v>267.4</v>
      </c>
      <c r="K23" s="32">
        <f>AVERAGE(J20:J23)</f>
        <v>224.8</v>
      </c>
      <c r="L23" s="16">
        <f>K23</f>
        <v>224.8</v>
      </c>
      <c r="M23" s="16">
        <f>-(I23-F23)+M22</f>
        <v>-1938.6</v>
      </c>
      <c r="N23" s="16">
        <f>M23</f>
        <v>-1938.6</v>
      </c>
      <c r="O23" s="16">
        <f>1+O22</f>
        <v>20</v>
      </c>
    </row>
    <row r="24" ht="21.2" customHeight="1">
      <c r="B24" s="27">
        <v>2022</v>
      </c>
      <c r="C24" s="15"/>
      <c r="D24" s="16"/>
      <c r="E24" s="16"/>
      <c r="F24" s="16"/>
      <c r="G24" s="16"/>
      <c r="H24" s="16"/>
      <c r="I24" s="16"/>
      <c r="J24" s="32"/>
      <c r="K24" s="18"/>
      <c r="L24" s="32">
        <f>SUM('Model'!F9:F11)</f>
        <v>263.51275305</v>
      </c>
      <c r="M24" s="18"/>
      <c r="N24" s="16">
        <f>'Model'!F33</f>
        <v>-1049.061218035</v>
      </c>
      <c r="O24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3" customWidth="1"/>
    <col min="2" max="11" width="9.21875" style="33" customWidth="1"/>
    <col min="12" max="16384" width="16.3516" style="33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22</v>
      </c>
      <c r="F3" t="s" s="5">
        <v>23</v>
      </c>
      <c r="G3" t="s" s="5">
        <v>12</v>
      </c>
      <c r="H3" t="s" s="5">
        <v>13</v>
      </c>
      <c r="I3" t="s" s="5">
        <v>53</v>
      </c>
      <c r="J3" t="s" s="5">
        <v>54</v>
      </c>
      <c r="K3" t="s" s="5">
        <v>34</v>
      </c>
    </row>
    <row r="4" ht="20.25" customHeight="1">
      <c r="B4" s="22">
        <v>2018</v>
      </c>
      <c r="C4" s="30">
        <v>244</v>
      </c>
      <c r="D4" s="25">
        <v>6647</v>
      </c>
      <c r="E4" s="25">
        <f>D4-C4</f>
        <v>6403</v>
      </c>
      <c r="F4" s="25">
        <f>2888+7</f>
        <v>2895</v>
      </c>
      <c r="G4" s="25">
        <v>3062</v>
      </c>
      <c r="H4" s="25">
        <v>3585</v>
      </c>
      <c r="I4" s="25">
        <f>G4+H4-C4-E4</f>
        <v>0</v>
      </c>
      <c r="J4" s="25">
        <f>C4-G4</f>
        <v>-2818</v>
      </c>
      <c r="K4" s="25"/>
    </row>
    <row r="5" ht="20.05" customHeight="1">
      <c r="B5" s="26"/>
      <c r="C5" s="15">
        <v>261</v>
      </c>
      <c r="D5" s="16">
        <v>7494</v>
      </c>
      <c r="E5" s="16">
        <f>D5-C5</f>
        <v>7233</v>
      </c>
      <c r="F5" s="16">
        <f>2976+7</f>
        <v>2983</v>
      </c>
      <c r="G5" s="16">
        <v>3978</v>
      </c>
      <c r="H5" s="16">
        <v>3516</v>
      </c>
      <c r="I5" s="16">
        <f>G5+H5-C5-E5</f>
        <v>0</v>
      </c>
      <c r="J5" s="16">
        <f>C5-G5</f>
        <v>-3717</v>
      </c>
      <c r="K5" s="16"/>
    </row>
    <row r="6" ht="20.05" customHeight="1">
      <c r="B6" s="26"/>
      <c r="C6" s="15">
        <v>346</v>
      </c>
      <c r="D6" s="16">
        <v>6268</v>
      </c>
      <c r="E6" s="16">
        <f>D6-C6</f>
        <v>5922</v>
      </c>
      <c r="F6" s="16">
        <f>3082+7</f>
        <v>3089</v>
      </c>
      <c r="G6" s="16">
        <v>2719</v>
      </c>
      <c r="H6" s="16">
        <v>3549</v>
      </c>
      <c r="I6" s="16">
        <f>G6+H6-C6-E6</f>
        <v>0</v>
      </c>
      <c r="J6" s="16">
        <f>C6-G6</f>
        <v>-2373</v>
      </c>
      <c r="K6" s="16"/>
    </row>
    <row r="7" ht="20.05" customHeight="1">
      <c r="B7" s="26"/>
      <c r="C7" s="15">
        <v>297</v>
      </c>
      <c r="D7" s="16">
        <v>8433</v>
      </c>
      <c r="E7" s="16">
        <f>D7-C7</f>
        <v>8136</v>
      </c>
      <c r="F7" s="16">
        <f>3181+7</f>
        <v>3188</v>
      </c>
      <c r="G7" s="16">
        <v>4836</v>
      </c>
      <c r="H7" s="16">
        <v>3597</v>
      </c>
      <c r="I7" s="16">
        <f>G7+H7-C7-E7</f>
        <v>0</v>
      </c>
      <c r="J7" s="16">
        <f>C7-G7</f>
        <v>-4539</v>
      </c>
      <c r="K7" s="16"/>
    </row>
    <row r="8" ht="20.05" customHeight="1">
      <c r="B8" s="27">
        <v>2019</v>
      </c>
      <c r="C8" s="15">
        <v>347</v>
      </c>
      <c r="D8" s="16">
        <v>8730</v>
      </c>
      <c r="E8" s="16">
        <f>D8-C8</f>
        <v>8383</v>
      </c>
      <c r="F8" s="16">
        <f>3047+7</f>
        <v>3054</v>
      </c>
      <c r="G8" s="16">
        <v>5149</v>
      </c>
      <c r="H8" s="16">
        <v>3581</v>
      </c>
      <c r="I8" s="16">
        <f>G8+H8-C8-E8</f>
        <v>0</v>
      </c>
      <c r="J8" s="16">
        <f>C8-G8</f>
        <v>-4802</v>
      </c>
      <c r="K8" s="16"/>
    </row>
    <row r="9" ht="20.05" customHeight="1">
      <c r="B9" s="26"/>
      <c r="C9" s="15">
        <v>303</v>
      </c>
      <c r="D9" s="16">
        <v>8846</v>
      </c>
      <c r="E9" s="16">
        <f>D9-C9</f>
        <v>8543</v>
      </c>
      <c r="F9" s="16">
        <f>3173+7</f>
        <v>3180</v>
      </c>
      <c r="G9" s="16">
        <v>5323</v>
      </c>
      <c r="H9" s="16">
        <v>3523</v>
      </c>
      <c r="I9" s="16">
        <f>G9+H9-C9-E9</f>
        <v>0</v>
      </c>
      <c r="J9" s="16">
        <f>C9-G9</f>
        <v>-5020</v>
      </c>
      <c r="K9" s="16"/>
    </row>
    <row r="10" ht="20.05" customHeight="1">
      <c r="B10" s="26"/>
      <c r="C10" s="15">
        <v>266</v>
      </c>
      <c r="D10" s="16">
        <v>8732</v>
      </c>
      <c r="E10" s="16">
        <f>D10-C10</f>
        <v>8466</v>
      </c>
      <c r="F10" s="16">
        <f>3301+7</f>
        <v>3308</v>
      </c>
      <c r="G10" s="16">
        <v>5277</v>
      </c>
      <c r="H10" s="16">
        <v>3455</v>
      </c>
      <c r="I10" s="16">
        <f>G10+H10-C10-E10</f>
        <v>0</v>
      </c>
      <c r="J10" s="16">
        <f>C10-G10</f>
        <v>-5011</v>
      </c>
      <c r="K10" s="16"/>
    </row>
    <row r="11" ht="20.05" customHeight="1">
      <c r="B11" s="26"/>
      <c r="C11" s="15">
        <v>293</v>
      </c>
      <c r="D11" s="16">
        <v>8738</v>
      </c>
      <c r="E11" s="16">
        <f>D11-C11</f>
        <v>8445</v>
      </c>
      <c r="F11" s="16">
        <f>3432</f>
        <v>3432</v>
      </c>
      <c r="G11" s="16">
        <v>5328</v>
      </c>
      <c r="H11" s="16">
        <v>3410</v>
      </c>
      <c r="I11" s="16">
        <f>G11+H11-C11-E11</f>
        <v>0</v>
      </c>
      <c r="J11" s="16">
        <f>C11-G11</f>
        <v>-5035</v>
      </c>
      <c r="K11" s="16"/>
    </row>
    <row r="12" ht="20.05" customHeight="1">
      <c r="B12" s="27">
        <v>2020</v>
      </c>
      <c r="C12" s="15">
        <v>347</v>
      </c>
      <c r="D12" s="16">
        <v>8736</v>
      </c>
      <c r="E12" s="16">
        <f>D12-C12</f>
        <v>8389</v>
      </c>
      <c r="F12" s="16">
        <f>3557+17</f>
        <v>3574</v>
      </c>
      <c r="G12" s="16">
        <v>5907</v>
      </c>
      <c r="H12" s="16">
        <v>2829</v>
      </c>
      <c r="I12" s="16">
        <f>G12+H12-C12-E12</f>
        <v>0</v>
      </c>
      <c r="J12" s="16">
        <f>C12-G12</f>
        <v>-5560</v>
      </c>
      <c r="K12" s="16"/>
    </row>
    <row r="13" ht="20.05" customHeight="1">
      <c r="B13" s="26"/>
      <c r="C13" s="15">
        <v>196</v>
      </c>
      <c r="D13" s="16">
        <v>8426</v>
      </c>
      <c r="E13" s="16">
        <f>D13-C13</f>
        <v>8230</v>
      </c>
      <c r="F13" s="16">
        <f>3688+17</f>
        <v>3705</v>
      </c>
      <c r="G13" s="16">
        <v>5375</v>
      </c>
      <c r="H13" s="16">
        <v>3051</v>
      </c>
      <c r="I13" s="16">
        <f>G13+H13-C13-E13</f>
        <v>0</v>
      </c>
      <c r="J13" s="16">
        <f>C13-G13</f>
        <v>-5179</v>
      </c>
      <c r="K13" s="16"/>
    </row>
    <row r="14" ht="20.05" customHeight="1">
      <c r="B14" s="26"/>
      <c r="C14" s="15">
        <v>351</v>
      </c>
      <c r="D14" s="16">
        <v>8212</v>
      </c>
      <c r="E14" s="16">
        <f>D14-C14</f>
        <v>7861</v>
      </c>
      <c r="F14" s="16">
        <f>3757+17</f>
        <v>3774</v>
      </c>
      <c r="G14" s="16">
        <v>5428</v>
      </c>
      <c r="H14" s="16">
        <v>2784</v>
      </c>
      <c r="I14" s="16">
        <f>G14+H14-C14-E14</f>
        <v>0</v>
      </c>
      <c r="J14" s="16">
        <f>C14-G14</f>
        <v>-5077</v>
      </c>
      <c r="K14" s="16"/>
    </row>
    <row r="15" ht="20.05" customHeight="1">
      <c r="B15" s="26"/>
      <c r="C15" s="15">
        <v>299</v>
      </c>
      <c r="D15" s="16">
        <v>7962</v>
      </c>
      <c r="E15" s="16">
        <f>D15-C15</f>
        <v>7663</v>
      </c>
      <c r="F15" s="16">
        <f>3848+17</f>
        <v>3865</v>
      </c>
      <c r="G15" s="16">
        <v>5032</v>
      </c>
      <c r="H15" s="16">
        <v>2930</v>
      </c>
      <c r="I15" s="16">
        <f>G15+H15-C15-E15</f>
        <v>0</v>
      </c>
      <c r="J15" s="16">
        <f>C15-G15</f>
        <v>-4733</v>
      </c>
      <c r="K15" s="16"/>
    </row>
    <row r="16" ht="20.05" customHeight="1">
      <c r="B16" s="27">
        <v>2021</v>
      </c>
      <c r="C16" s="15">
        <v>168</v>
      </c>
      <c r="D16" s="16">
        <v>7670</v>
      </c>
      <c r="E16" s="16">
        <f>D16-C16</f>
        <v>7502</v>
      </c>
      <c r="F16" s="16">
        <f>3974+17</f>
        <v>3991</v>
      </c>
      <c r="G16" s="16">
        <v>4740</v>
      </c>
      <c r="H16" s="16">
        <v>2930</v>
      </c>
      <c r="I16" s="16">
        <f>G16+H16-C16-E16</f>
        <v>0</v>
      </c>
      <c r="J16" s="16">
        <f>C16-G16</f>
        <v>-4572</v>
      </c>
      <c r="K16" s="16"/>
    </row>
    <row r="17" ht="20.05" customHeight="1">
      <c r="B17" s="26"/>
      <c r="C17" s="15">
        <v>140</v>
      </c>
      <c r="D17" s="16">
        <v>7524</v>
      </c>
      <c r="E17" s="16">
        <f>D17-C17</f>
        <v>7384</v>
      </c>
      <c r="F17" s="16">
        <f>F16+'Sales'!E20</f>
        <v>4118.7</v>
      </c>
      <c r="G17" s="16">
        <v>4503</v>
      </c>
      <c r="H17" s="16">
        <v>3020</v>
      </c>
      <c r="I17" s="16">
        <f>G17+H17-C17-E17</f>
        <v>-1</v>
      </c>
      <c r="J17" s="16">
        <f>C17-G17</f>
        <v>-4363</v>
      </c>
      <c r="K17" s="16"/>
    </row>
    <row r="18" ht="20.05" customHeight="1">
      <c r="B18" s="26"/>
      <c r="C18" s="15">
        <v>147</v>
      </c>
      <c r="D18" s="16">
        <v>7410</v>
      </c>
      <c r="E18" s="16">
        <f>D18-C18</f>
        <v>7263</v>
      </c>
      <c r="F18" s="16">
        <f>4073+18</f>
        <v>4091</v>
      </c>
      <c r="G18" s="16">
        <v>4220</v>
      </c>
      <c r="H18" s="16">
        <v>3190</v>
      </c>
      <c r="I18" s="16">
        <f>G18+H18-C18-E18</f>
        <v>0</v>
      </c>
      <c r="J18" s="16">
        <f>C18-G18</f>
        <v>-4073</v>
      </c>
      <c r="K18" s="16">
        <f>J18</f>
        <v>-4073</v>
      </c>
    </row>
    <row r="19" ht="20.05" customHeight="1">
      <c r="B19" s="26"/>
      <c r="C19" s="15">
        <v>132</v>
      </c>
      <c r="D19" s="16">
        <v>7403</v>
      </c>
      <c r="E19" s="16">
        <f>D19-C19</f>
        <v>7271</v>
      </c>
      <c r="F19" s="16">
        <f>4177+17</f>
        <v>4194</v>
      </c>
      <c r="G19" s="16">
        <v>4110</v>
      </c>
      <c r="H19" s="16">
        <v>3293</v>
      </c>
      <c r="I19" s="16">
        <f>G19+H19-C19-E19</f>
        <v>0</v>
      </c>
      <c r="J19" s="16">
        <f>C19-G19</f>
        <v>-3978</v>
      </c>
      <c r="K19" s="16">
        <f>J19</f>
        <v>-3978</v>
      </c>
    </row>
    <row r="20" ht="20.05" customHeight="1">
      <c r="B20" s="27">
        <v>2022</v>
      </c>
      <c r="C20" s="15"/>
      <c r="D20" s="16"/>
      <c r="E20" s="16">
        <f>D20-C20</f>
        <v>0</v>
      </c>
      <c r="F20" s="16"/>
      <c r="G20" s="16"/>
      <c r="H20" s="16"/>
      <c r="I20" s="16"/>
      <c r="J20" s="16"/>
      <c r="K20" s="16">
        <f>'Model'!F31</f>
        <v>-3119.404519165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4" customWidth="1"/>
    <col min="2" max="5" width="9.9375" style="34" customWidth="1"/>
    <col min="6" max="16384" width="16.3516" style="34" customWidth="1"/>
  </cols>
  <sheetData>
    <row r="1" ht="30.75" customHeight="1"/>
    <row r="2" ht="27.65" customHeight="1">
      <c r="B2" t="s" s="2">
        <v>55</v>
      </c>
      <c r="C2" s="2"/>
      <c r="D2" s="2"/>
      <c r="E2" s="2"/>
    </row>
    <row r="3" ht="32.25" customHeight="1">
      <c r="B3" s="4"/>
      <c r="C3" t="s" s="35">
        <v>56</v>
      </c>
      <c r="D3" t="s" s="35">
        <v>37</v>
      </c>
      <c r="E3" t="s" s="35">
        <v>57</v>
      </c>
    </row>
    <row r="4" ht="20.25" customHeight="1">
      <c r="B4" s="22">
        <v>2018</v>
      </c>
      <c r="C4" s="36">
        <v>5425</v>
      </c>
      <c r="D4" s="37"/>
      <c r="E4" s="37"/>
    </row>
    <row r="5" ht="20.05" customHeight="1">
      <c r="B5" s="26"/>
      <c r="C5" s="38">
        <v>4950</v>
      </c>
      <c r="D5" s="39"/>
      <c r="E5" s="39"/>
    </row>
    <row r="6" ht="20.05" customHeight="1">
      <c r="B6" s="26"/>
      <c r="C6" s="38">
        <v>4600</v>
      </c>
      <c r="D6" s="39"/>
      <c r="E6" s="39"/>
    </row>
    <row r="7" ht="20.05" customHeight="1">
      <c r="B7" s="26"/>
      <c r="C7" s="38">
        <v>3690</v>
      </c>
      <c r="D7" s="39"/>
      <c r="E7" s="39"/>
    </row>
    <row r="8" ht="20.05" customHeight="1">
      <c r="B8" s="27">
        <v>2019</v>
      </c>
      <c r="C8" s="38">
        <v>5500</v>
      </c>
      <c r="D8" s="39"/>
      <c r="E8" s="39"/>
    </row>
    <row r="9" ht="20.05" customHeight="1">
      <c r="B9" s="26"/>
      <c r="C9" s="38">
        <v>5125</v>
      </c>
      <c r="D9" s="39"/>
      <c r="E9" s="39"/>
    </row>
    <row r="10" ht="20.05" customHeight="1">
      <c r="B10" s="26"/>
      <c r="C10" s="38">
        <v>4260</v>
      </c>
      <c r="D10" s="39"/>
      <c r="E10" s="39"/>
    </row>
    <row r="11" ht="20.05" customHeight="1">
      <c r="B11" s="26"/>
      <c r="C11" s="38">
        <v>3430</v>
      </c>
      <c r="D11" s="39"/>
      <c r="E11" s="39"/>
    </row>
    <row r="12" ht="20.05" customHeight="1">
      <c r="B12" s="27">
        <v>2020</v>
      </c>
      <c r="C12" s="38">
        <v>2500</v>
      </c>
      <c r="D12" s="39"/>
      <c r="E12" s="39"/>
    </row>
    <row r="13" ht="20.05" customHeight="1">
      <c r="B13" s="26"/>
      <c r="C13" s="38">
        <v>3300</v>
      </c>
      <c r="D13" s="39"/>
      <c r="E13" s="39"/>
    </row>
    <row r="14" ht="20.05" customHeight="1">
      <c r="B14" s="26"/>
      <c r="C14" s="38">
        <v>2330</v>
      </c>
      <c r="D14" s="39"/>
      <c r="E14" s="39"/>
    </row>
    <row r="15" ht="20.05" customHeight="1">
      <c r="B15" s="26"/>
      <c r="C15" s="38">
        <v>2700</v>
      </c>
      <c r="D15" s="39"/>
      <c r="E15" s="39"/>
    </row>
    <row r="16" ht="20.05" customHeight="1">
      <c r="B16" s="27">
        <v>2021</v>
      </c>
      <c r="C16" s="38">
        <v>3700</v>
      </c>
      <c r="D16" s="39"/>
      <c r="E16" s="39"/>
    </row>
    <row r="17" ht="20.05" customHeight="1">
      <c r="B17" s="26"/>
      <c r="C17" s="38">
        <v>3570</v>
      </c>
      <c r="D17" s="39"/>
      <c r="E17" s="39"/>
    </row>
    <row r="18" ht="20.05" customHeight="1">
      <c r="B18" s="26"/>
      <c r="C18" s="15">
        <v>3850</v>
      </c>
      <c r="D18" s="16"/>
      <c r="E18" s="16"/>
    </row>
    <row r="19" ht="20.05" customHeight="1">
      <c r="B19" s="26"/>
      <c r="C19" s="15">
        <v>4440</v>
      </c>
      <c r="D19" s="40"/>
      <c r="E19" s="40"/>
    </row>
    <row r="20" ht="20.05" customHeight="1">
      <c r="B20" s="27">
        <v>2022</v>
      </c>
      <c r="C20" s="15">
        <v>5400</v>
      </c>
      <c r="D20" s="40">
        <f>C20</f>
        <v>5400</v>
      </c>
      <c r="E20" s="40"/>
    </row>
    <row r="21" ht="20.05" customHeight="1">
      <c r="B21" s="26"/>
      <c r="C21" s="15"/>
      <c r="D21" s="40">
        <f>'Model'!F44</f>
        <v>13663.044387788</v>
      </c>
      <c r="E21" s="40">
        <v>13112.1469563957</v>
      </c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5" style="41" customWidth="1"/>
    <col min="9" max="16384" width="16.3516" style="41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</row>
    <row r="2" ht="20.25" customHeight="1">
      <c r="A2" s="42"/>
      <c r="B2" t="s" s="5">
        <v>12</v>
      </c>
      <c r="C2" t="s" s="5">
        <v>13</v>
      </c>
      <c r="D2" t="s" s="5">
        <v>59</v>
      </c>
      <c r="E2" t="s" s="5">
        <v>12</v>
      </c>
      <c r="F2" t="s" s="5">
        <v>13</v>
      </c>
      <c r="G2" t="s" s="5">
        <v>59</v>
      </c>
      <c r="H2" s="4"/>
    </row>
    <row r="3" ht="20.25" customHeight="1">
      <c r="A3" s="22">
        <v>2000</v>
      </c>
      <c r="B3" s="30"/>
      <c r="C3" s="25"/>
      <c r="D3" s="25">
        <f>B3+C3</f>
        <v>0</v>
      </c>
      <c r="E3" s="25">
        <f>B3</f>
        <v>0</v>
      </c>
      <c r="F3" s="25">
        <f>C3</f>
        <v>0</v>
      </c>
      <c r="G3" s="25">
        <f>D3</f>
        <v>0</v>
      </c>
      <c r="H3" s="8"/>
    </row>
    <row r="4" ht="20.05" customHeight="1">
      <c r="A4" s="27">
        <f>1+$A3</f>
        <v>2001</v>
      </c>
      <c r="B4" s="15"/>
      <c r="C4" s="16"/>
      <c r="D4" s="16">
        <f>B4+C4</f>
        <v>0</v>
      </c>
      <c r="E4" s="16">
        <f>B4+E3</f>
        <v>0</v>
      </c>
      <c r="F4" s="16">
        <f>C4+F3</f>
        <v>0</v>
      </c>
      <c r="G4" s="16">
        <f>D4+G3</f>
        <v>0</v>
      </c>
      <c r="H4" s="18"/>
    </row>
    <row r="5" ht="20.05" customHeight="1">
      <c r="A5" s="27">
        <f>1+$A4</f>
        <v>2002</v>
      </c>
      <c r="B5" s="15"/>
      <c r="C5" s="16"/>
      <c r="D5" s="16">
        <f>B5+C5</f>
        <v>0</v>
      </c>
      <c r="E5" s="16">
        <f>B5+E4</f>
        <v>0</v>
      </c>
      <c r="F5" s="16">
        <f>C5+F4</f>
        <v>0</v>
      </c>
      <c r="G5" s="16">
        <f>D5+G4</f>
        <v>0</v>
      </c>
      <c r="H5" s="18"/>
    </row>
    <row r="6" ht="20.05" customHeight="1">
      <c r="A6" s="27">
        <f>1+$A5</f>
        <v>2003</v>
      </c>
      <c r="B6" s="15"/>
      <c r="C6" s="16"/>
      <c r="D6" s="16">
        <f>B6+C6</f>
        <v>0</v>
      </c>
      <c r="E6" s="16">
        <f>B6+E5</f>
        <v>0</v>
      </c>
      <c r="F6" s="16">
        <f>C6+F5</f>
        <v>0</v>
      </c>
      <c r="G6" s="16">
        <f>D6+G5</f>
        <v>0</v>
      </c>
      <c r="H6" s="18"/>
    </row>
    <row r="7" ht="20.05" customHeight="1">
      <c r="A7" s="27">
        <f>1+$A6</f>
        <v>2004</v>
      </c>
      <c r="B7" s="15"/>
      <c r="C7" s="16"/>
      <c r="D7" s="16">
        <f>B7+C7</f>
        <v>0</v>
      </c>
      <c r="E7" s="16">
        <f>B7+E6</f>
        <v>0</v>
      </c>
      <c r="F7" s="16">
        <f>C7+F6</f>
        <v>0</v>
      </c>
      <c r="G7" s="16">
        <f>D7+G6</f>
        <v>0</v>
      </c>
      <c r="H7" s="18"/>
    </row>
    <row r="8" ht="20.05" customHeight="1">
      <c r="A8" s="27">
        <f>1+$A7</f>
        <v>2005</v>
      </c>
      <c r="B8" s="15">
        <f>-204.43-C8</f>
        <v>-161.03</v>
      </c>
      <c r="C8" s="16">
        <v>-43.4</v>
      </c>
      <c r="D8" s="16">
        <f>B8+C8</f>
        <v>-204.43</v>
      </c>
      <c r="E8" s="16">
        <f>B8+E7</f>
        <v>-161.03</v>
      </c>
      <c r="F8" s="16">
        <f>C8+F7</f>
        <v>-43.4</v>
      </c>
      <c r="G8" s="16">
        <f>D8+G7</f>
        <v>-204.43</v>
      </c>
      <c r="H8" s="18"/>
    </row>
    <row r="9" ht="20.05" customHeight="1">
      <c r="A9" s="27">
        <f>1+$A8</f>
        <v>2006</v>
      </c>
      <c r="B9" s="15">
        <f>81.482-C9</f>
        <v>116.202</v>
      </c>
      <c r="C9" s="16">
        <v>-34.72</v>
      </c>
      <c r="D9" s="16">
        <f>B9+C9</f>
        <v>81.482</v>
      </c>
      <c r="E9" s="16">
        <f>B9+E8</f>
        <v>-44.828</v>
      </c>
      <c r="F9" s="16">
        <f>C9+F8</f>
        <v>-78.12</v>
      </c>
      <c r="G9" s="16">
        <f>D9+G8</f>
        <v>-122.948</v>
      </c>
      <c r="H9" s="18"/>
    </row>
    <row r="10" ht="20.05" customHeight="1">
      <c r="A10" s="27">
        <f>1+$A9</f>
        <v>2007</v>
      </c>
      <c r="B10" s="15">
        <v>-123.169</v>
      </c>
      <c r="C10" s="16"/>
      <c r="D10" s="16">
        <f>B10+C10</f>
        <v>-123.169</v>
      </c>
      <c r="E10" s="16">
        <f>B10+E9</f>
        <v>-167.997</v>
      </c>
      <c r="F10" s="16">
        <f>C10+F9</f>
        <v>-78.12</v>
      </c>
      <c r="G10" s="16">
        <f>D10+G9</f>
        <v>-246.117</v>
      </c>
      <c r="H10" s="18"/>
    </row>
    <row r="11" ht="20.05" customHeight="1">
      <c r="A11" s="27">
        <f>1+$A10</f>
        <v>2008</v>
      </c>
      <c r="B11" s="15">
        <v>-108.319</v>
      </c>
      <c r="C11" s="16">
        <v>-34.79</v>
      </c>
      <c r="D11" s="16">
        <f>B11+C11</f>
        <v>-143.109</v>
      </c>
      <c r="E11" s="16">
        <f>B11+E10</f>
        <v>-276.316</v>
      </c>
      <c r="F11" s="16">
        <f>C11+F10</f>
        <v>-112.91</v>
      </c>
      <c r="G11" s="16">
        <f>D11+G10</f>
        <v>-389.226</v>
      </c>
      <c r="H11" s="18"/>
    </row>
    <row r="12" ht="20.05" customHeight="1">
      <c r="A12" s="27">
        <f>1+$A11</f>
        <v>2009</v>
      </c>
      <c r="B12" s="15"/>
      <c r="C12" s="16">
        <v>-17.36</v>
      </c>
      <c r="D12" s="16">
        <f>B12+C12</f>
        <v>-17.36</v>
      </c>
      <c r="E12" s="16">
        <f>B12+E11</f>
        <v>-276.316</v>
      </c>
      <c r="F12" s="16">
        <f>C12+F11</f>
        <v>-130.27</v>
      </c>
      <c r="G12" s="16">
        <f>D12+G11</f>
        <v>-406.586</v>
      </c>
      <c r="H12" s="18"/>
    </row>
    <row r="13" ht="20.05" customHeight="1">
      <c r="A13" s="27">
        <f>1+$A12</f>
        <v>2010</v>
      </c>
      <c r="B13" s="15"/>
      <c r="C13" s="16">
        <v>-17.36</v>
      </c>
      <c r="D13" s="16">
        <f>B13+C13</f>
        <v>-17.36</v>
      </c>
      <c r="E13" s="16">
        <f>B13+E12</f>
        <v>-276.316</v>
      </c>
      <c r="F13" s="16">
        <f>C13+F12</f>
        <v>-147.63</v>
      </c>
      <c r="G13" s="16">
        <f>D13+G12</f>
        <v>-423.946</v>
      </c>
      <c r="H13" s="18"/>
    </row>
    <row r="14" ht="20.05" customHeight="1">
      <c r="A14" s="27">
        <f>1+$A13</f>
        <v>2011</v>
      </c>
      <c r="B14" s="15"/>
      <c r="C14" s="16">
        <v>-34.72</v>
      </c>
      <c r="D14" s="16">
        <f>B14+C14</f>
        <v>-34.72</v>
      </c>
      <c r="E14" s="16">
        <f>B14+E13</f>
        <v>-276.316</v>
      </c>
      <c r="F14" s="16">
        <f>C14+F13</f>
        <v>-182.35</v>
      </c>
      <c r="G14" s="16">
        <f>D14+G13</f>
        <v>-458.666</v>
      </c>
      <c r="H14" s="18"/>
    </row>
    <row r="15" ht="20.05" customHeight="1">
      <c r="A15" s="27">
        <f>1+$A14</f>
        <v>2012</v>
      </c>
      <c r="B15" s="15"/>
      <c r="C15" s="16">
        <v>-34.72</v>
      </c>
      <c r="D15" s="16">
        <f>B15+C15</f>
        <v>-34.72</v>
      </c>
      <c r="E15" s="16">
        <f>B15+E14</f>
        <v>-276.316</v>
      </c>
      <c r="F15" s="16">
        <f>C15+F14</f>
        <v>-217.07</v>
      </c>
      <c r="G15" s="16">
        <f>D15+G14</f>
        <v>-493.386</v>
      </c>
      <c r="H15" s="18"/>
    </row>
    <row r="16" ht="20.05" customHeight="1">
      <c r="A16" s="27">
        <f>1+$A15</f>
        <v>2013</v>
      </c>
      <c r="B16" s="15"/>
      <c r="C16" s="16">
        <v>-34.72</v>
      </c>
      <c r="D16" s="16">
        <f>B16+C16</f>
        <v>-34.72</v>
      </c>
      <c r="E16" s="16">
        <f>B16+E15</f>
        <v>-276.316</v>
      </c>
      <c r="F16" s="16">
        <f>C16+F15</f>
        <v>-251.79</v>
      </c>
      <c r="G16" s="16">
        <f>D16+G15</f>
        <v>-528.106</v>
      </c>
      <c r="H16" s="18"/>
    </row>
    <row r="17" ht="20.05" customHeight="1">
      <c r="A17" s="27">
        <f>1+$A16</f>
        <v>2014</v>
      </c>
      <c r="B17" s="15"/>
      <c r="C17" s="16">
        <v>-34.72</v>
      </c>
      <c r="D17" s="16">
        <f>B17+C17</f>
        <v>-34.72</v>
      </c>
      <c r="E17" s="16">
        <f>B17+E16</f>
        <v>-276.316</v>
      </c>
      <c r="F17" s="16">
        <f>C17+F16</f>
        <v>-286.51</v>
      </c>
      <c r="G17" s="16">
        <f>D17+G16</f>
        <v>-562.826</v>
      </c>
      <c r="H17" s="18"/>
    </row>
    <row r="18" ht="20.05" customHeight="1">
      <c r="A18" s="27">
        <f>1+$A17</f>
        <v>2015</v>
      </c>
      <c r="B18" s="15"/>
      <c r="C18" s="16">
        <v>-34.72</v>
      </c>
      <c r="D18" s="16">
        <f>B18+C18</f>
        <v>-34.72</v>
      </c>
      <c r="E18" s="16">
        <f>B18+E17</f>
        <v>-276.316</v>
      </c>
      <c r="F18" s="16">
        <f>C18+F17</f>
        <v>-321.23</v>
      </c>
      <c r="G18" s="16">
        <f>D18+G17</f>
        <v>-597.546</v>
      </c>
      <c r="H18" s="18"/>
    </row>
    <row r="19" ht="20.05" customHeight="1">
      <c r="A19" s="27">
        <f>1+$A18</f>
        <v>2016</v>
      </c>
      <c r="B19" s="15">
        <v>698.672</v>
      </c>
      <c r="C19" s="16">
        <v>-34.72</v>
      </c>
      <c r="D19" s="16">
        <f>B19+C19</f>
        <v>663.952</v>
      </c>
      <c r="E19" s="16">
        <f>B19+E18</f>
        <v>422.356</v>
      </c>
      <c r="F19" s="16">
        <f>C19+F18</f>
        <v>-355.95</v>
      </c>
      <c r="G19" s="16">
        <f>D19+G18</f>
        <v>66.40600000000001</v>
      </c>
      <c r="H19" s="18"/>
    </row>
    <row r="20" ht="20.05" customHeight="1">
      <c r="A20" s="27">
        <f>1+$A19</f>
        <v>2017</v>
      </c>
      <c r="B20" s="15">
        <f>742.946-C20</f>
        <v>777.6660000000001</v>
      </c>
      <c r="C20" s="16">
        <v>-34.72</v>
      </c>
      <c r="D20" s="16">
        <f>B20+C20</f>
        <v>742.946</v>
      </c>
      <c r="E20" s="16">
        <f>B20+E19</f>
        <v>1200.022</v>
      </c>
      <c r="F20" s="16">
        <f>C20+F19</f>
        <v>-390.67</v>
      </c>
      <c r="G20" s="16">
        <f>D20+G19</f>
        <v>809.352</v>
      </c>
      <c r="H20" s="18"/>
    </row>
    <row r="21" ht="20.05" customHeight="1">
      <c r="A21" s="27">
        <f>1+$A20</f>
        <v>2018</v>
      </c>
      <c r="B21" s="15">
        <f>1637.323-C21</f>
        <v>1650.343</v>
      </c>
      <c r="C21" s="16">
        <v>-13.02</v>
      </c>
      <c r="D21" s="16">
        <f>B21+C21</f>
        <v>1637.323</v>
      </c>
      <c r="E21" s="16">
        <f>B21+E20</f>
        <v>2850.365</v>
      </c>
      <c r="F21" s="16">
        <f>C21+F20</f>
        <v>-403.69</v>
      </c>
      <c r="G21" s="16">
        <f>D21+G20</f>
        <v>2446.675</v>
      </c>
      <c r="H21" s="18"/>
    </row>
    <row r="22" ht="20.05" customHeight="1">
      <c r="A22" s="27">
        <f>1+$A21</f>
        <v>2019</v>
      </c>
      <c r="B22" s="15">
        <f>1009.503-C22</f>
        <v>1022.523</v>
      </c>
      <c r="C22" s="16">
        <v>-13.02</v>
      </c>
      <c r="D22" s="16">
        <f>B22+C22</f>
        <v>1009.503</v>
      </c>
      <c r="E22" s="16">
        <f>B22+E21</f>
        <v>3872.888</v>
      </c>
      <c r="F22" s="16">
        <f>C22+F21</f>
        <v>-416.71</v>
      </c>
      <c r="G22" s="16">
        <f>D22+G21</f>
        <v>3456.178</v>
      </c>
      <c r="H22" s="18"/>
    </row>
    <row r="23" ht="20.05" customHeight="1">
      <c r="A23" s="27">
        <f>1+$A22</f>
        <v>2020</v>
      </c>
      <c r="B23" s="15">
        <f>-414.734+29.818</f>
        <v>-384.916</v>
      </c>
      <c r="C23" s="16">
        <v>0</v>
      </c>
      <c r="D23" s="16">
        <f>B23+C23</f>
        <v>-384.916</v>
      </c>
      <c r="E23" s="16">
        <f>B23+E22</f>
        <v>3487.972</v>
      </c>
      <c r="F23" s="16">
        <f>C23+F22</f>
        <v>-416.71</v>
      </c>
      <c r="G23" s="16">
        <f>D23+G22</f>
        <v>3071.262</v>
      </c>
      <c r="H23" s="18"/>
    </row>
    <row r="24" ht="20.05" customHeight="1">
      <c r="A24" s="27">
        <f>1+$A23</f>
        <v>2021</v>
      </c>
      <c r="B24" s="15">
        <f>SUM('Cashflow '!G20:G23)</f>
        <v>-1066.2</v>
      </c>
      <c r="C24" s="16">
        <f>SUM('Cashflow '!H20:H23)</f>
        <v>0</v>
      </c>
      <c r="D24" s="16">
        <f>B24+C24</f>
        <v>-1066.2</v>
      </c>
      <c r="E24" s="16">
        <f>B24+E23</f>
        <v>2421.772</v>
      </c>
      <c r="F24" s="16">
        <f>C24+F23</f>
        <v>-416.71</v>
      </c>
      <c r="G24" s="16">
        <f>D24+G23</f>
        <v>2005.062</v>
      </c>
      <c r="H24" s="20">
        <f>SUM(B23:B24)/'Model'!F35</f>
        <v>-0.619182454343745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