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<sst xmlns="http://schemas.openxmlformats.org/spreadsheetml/2006/main" uniqueCount="61">
  <si>
    <t>Financial model</t>
  </si>
  <si>
    <t>Rpbn</t>
  </si>
  <si>
    <t>4Q 2022</t>
  </si>
  <si>
    <t xml:space="preserve">Cashflow </t>
  </si>
  <si>
    <t>Growth</t>
  </si>
  <si>
    <t>Sales</t>
  </si>
  <si>
    <t>Costs ratio</t>
  </si>
  <si>
    <t>Cash costs</t>
  </si>
  <si>
    <t xml:space="preserve">Operating </t>
  </si>
  <si>
    <t xml:space="preserve">Investment </t>
  </si>
  <si>
    <t xml:space="preserve">Finance </t>
  </si>
  <si>
    <t xml:space="preserve">Liabilities </t>
  </si>
  <si>
    <t>Equity</t>
  </si>
  <si>
    <t>Before revolver</t>
  </si>
  <si>
    <t>Revolver</t>
  </si>
  <si>
    <t>Beginning</t>
  </si>
  <si>
    <t>Change</t>
  </si>
  <si>
    <t>Ending</t>
  </si>
  <si>
    <t>Profit</t>
  </si>
  <si>
    <t>Non cash costs</t>
  </si>
  <si>
    <t>Net profit</t>
  </si>
  <si>
    <t>Balance sheet</t>
  </si>
  <si>
    <t>Other assets</t>
  </si>
  <si>
    <t xml:space="preserve">Depreciation </t>
  </si>
  <si>
    <t>Net other assets</t>
  </si>
  <si>
    <t>Check</t>
  </si>
  <si>
    <t>Net cash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</si>
  <si>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</si>
  <si>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</si>
  <si>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</si>
  <si>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</si>
  <si>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</si>
  <si>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>Cashflow</t>
  </si>
  <si>
    <t xml:space="preserve">Payback </t>
  </si>
  <si>
    <t xml:space="preserve">Forecast </t>
  </si>
  <si>
    <t xml:space="preserve">Value </t>
  </si>
  <si>
    <t>Shares</t>
  </si>
  <si>
    <t xml:space="preserve">Target </t>
  </si>
  <si>
    <t xml:space="preserve">Current </t>
  </si>
  <si>
    <t>V target</t>
  </si>
  <si>
    <t xml:space="preserve">12 month growth </t>
  </si>
  <si>
    <t xml:space="preserve">Sales forecasts </t>
  </si>
  <si>
    <t xml:space="preserve">Net profit </t>
  </si>
  <si>
    <t xml:space="preserve">Sales growth </t>
  </si>
  <si>
    <t>Cost ratio</t>
  </si>
  <si>
    <t xml:space="preserve">Cashflow costs </t>
  </si>
  <si>
    <t>Receipts</t>
  </si>
  <si>
    <t>Lease</t>
  </si>
  <si>
    <t>Liabilities</t>
  </si>
  <si>
    <t>Finance</t>
  </si>
  <si>
    <t xml:space="preserve">Free cashflow </t>
  </si>
  <si>
    <t>Capital</t>
  </si>
  <si>
    <t>Assets</t>
  </si>
  <si>
    <t>Cash</t>
  </si>
  <si>
    <t>Other Assets</t>
  </si>
  <si>
    <t xml:space="preserve">Equity </t>
  </si>
  <si>
    <t xml:space="preserve">Check </t>
  </si>
  <si>
    <t>AKRA</t>
  </si>
  <si>
    <t>Rp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</si>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</sst>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1"/>
      <color indexed="1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1" fontId="0" borderId="6" applyNumberFormat="1" applyFont="1" applyFill="0" applyBorder="1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8" fontId="0" borderId="3" applyNumberFormat="1" applyFont="1" applyFill="0" applyBorder="1" applyAlignment="1" applyProtection="0">
      <alignment vertical="top" wrapText="1"/>
    </xf>
    <xf numFmtId="38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2" fillId="2" borderId="8" applyNumberFormat="1" applyFont="1" applyFill="1" applyBorder="1" applyAlignment="1" applyProtection="0">
      <alignment vertical="top" wrapText="1"/>
    </xf>
    <xf numFmtId="0" fontId="2" fillId="4" borderId="4" applyNumberFormat="1" applyFont="1" applyFill="1" applyBorder="1" applyAlignment="1" applyProtection="0">
      <alignment vertical="top" wrapText="1"/>
    </xf>
    <xf numFmtId="0" fontId="2" fillId="4" borderId="7" applyNumberFormat="0" applyFont="1" applyFill="1" applyBorder="1" applyAlignment="1" applyProtection="0">
      <alignment vertical="top" wrapText="1"/>
    </xf>
    <xf numFmtId="0" fontId="2" fillId="4" borderId="7" applyNumberFormat="1" applyFont="1" applyFill="1" applyBorder="1" applyAlignment="1" applyProtection="0">
      <alignment vertical="top" wrapText="1"/>
    </xf>
    <xf numFmtId="3" fontId="3" borderId="7" applyNumberFormat="1" applyFont="1" applyFill="0" applyBorder="1" applyAlignment="1" applyProtection="0">
      <alignment vertical="center" wrapText="1" readingOrder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323232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468672</xdr:colOff>
      <xdr:row>2</xdr:row>
      <xdr:rowOff>89008</xdr:rowOff>
    </xdr:from>
    <xdr:to>
      <xdr:col>13</xdr:col>
      <xdr:colOff>556633</xdr:colOff>
      <xdr:row>47</xdr:row>
      <xdr:rowOff>140993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701072" y="857358"/>
          <a:ext cx="8800162" cy="1151564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7.125" style="1" customWidth="1"/>
    <col min="2" max="2" width="16.1406" style="1" customWidth="1"/>
    <col min="3" max="6" width="8.84375" style="1" customWidth="1"/>
    <col min="7" max="16384" width="16.3516" style="1" customWidth="1"/>
  </cols>
  <sheetData>
    <row r="1" ht="32.8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0.220895288701165</v>
      </c>
      <c r="D4" s="8"/>
      <c r="E4" s="8"/>
      <c r="F4" s="9">
        <f>AVERAGE(C5:F5)</f>
        <v>0.08749999999999999</v>
      </c>
    </row>
    <row r="5" ht="20.05" customHeight="1">
      <c r="B5" t="s" s="10">
        <v>4</v>
      </c>
      <c r="C5" s="11">
        <v>0.1</v>
      </c>
      <c r="D5" s="12">
        <v>-0.02</v>
      </c>
      <c r="E5" s="12">
        <v>0.12</v>
      </c>
      <c r="F5" s="12">
        <v>0.15</v>
      </c>
    </row>
    <row r="6" ht="20.05" customHeight="1">
      <c r="B6" t="s" s="10">
        <v>5</v>
      </c>
      <c r="C6" s="13">
        <f>'Sales'!C31*(1+C5)</f>
        <v>9303.139999999999</v>
      </c>
      <c r="D6" s="14">
        <f>C6*(1+D5)</f>
        <v>9117.0772</v>
      </c>
      <c r="E6" s="14">
        <f>D6*(1+E5)</f>
        <v>10211.126464</v>
      </c>
      <c r="F6" s="14">
        <f>E6*(1+F5)</f>
        <v>11742.7954336</v>
      </c>
    </row>
    <row r="7" ht="20.05" customHeight="1">
      <c r="B7" t="s" s="10">
        <v>6</v>
      </c>
      <c r="C7" s="15">
        <f>AVERAGE('Sales'!I31)</f>
        <v>-0.9374622196885199</v>
      </c>
      <c r="D7" s="16">
        <f>C7</f>
        <v>-0.9374622196885199</v>
      </c>
      <c r="E7" s="16">
        <f>D7</f>
        <v>-0.9374622196885199</v>
      </c>
      <c r="F7" s="16">
        <f>E7</f>
        <v>-0.9374622196885199</v>
      </c>
    </row>
    <row r="8" ht="20.05" customHeight="1">
      <c r="B8" t="s" s="10">
        <v>7</v>
      </c>
      <c r="C8" s="17">
        <f>C7*C6</f>
        <v>-8721.342274473060</v>
      </c>
      <c r="D8" s="18">
        <f>D7*D6</f>
        <v>-8546.915428983601</v>
      </c>
      <c r="E8" s="18">
        <f>E7*E6</f>
        <v>-9572.545280461631</v>
      </c>
      <c r="F8" s="18">
        <f>F7*F6</f>
        <v>-11008.4270725309</v>
      </c>
    </row>
    <row r="9" ht="20.05" customHeight="1">
      <c r="B9" t="s" s="10">
        <v>8</v>
      </c>
      <c r="C9" s="17">
        <f>C6+C8</f>
        <v>581.797725526940</v>
      </c>
      <c r="D9" s="18">
        <f>D6+D8</f>
        <v>570.1617710164001</v>
      </c>
      <c r="E9" s="18">
        <f>E6+E8</f>
        <v>638.5811835383701</v>
      </c>
      <c r="F9" s="18">
        <f>F6+F8</f>
        <v>734.3683610691</v>
      </c>
    </row>
    <row r="10" ht="20.05" customHeight="1">
      <c r="B10" t="s" s="10">
        <v>9</v>
      </c>
      <c r="C10" s="17">
        <f>AVERAGE('Cashflow'!F31)</f>
        <v>-58.7</v>
      </c>
      <c r="D10" s="18">
        <f>C10</f>
        <v>-58.7</v>
      </c>
      <c r="E10" s="18">
        <f>D10</f>
        <v>-58.7</v>
      </c>
      <c r="F10" s="18">
        <f>E10</f>
        <v>-58.7</v>
      </c>
    </row>
    <row r="11" ht="20.05" customHeight="1">
      <c r="B11" t="s" s="10">
        <v>10</v>
      </c>
      <c r="C11" s="17">
        <f>C12+C13+C15</f>
        <v>-523.0977255269401</v>
      </c>
      <c r="D11" s="18">
        <f>D12+D13+D15</f>
        <v>-511.4617710164</v>
      </c>
      <c r="E11" s="18">
        <f>E12+E13+E15</f>
        <v>-579.881183538370</v>
      </c>
      <c r="F11" s="18">
        <f>F12+F13+F15</f>
        <v>-675.6683610691</v>
      </c>
    </row>
    <row r="12" ht="20.05" customHeight="1">
      <c r="B12" t="s" s="10">
        <v>11</v>
      </c>
      <c r="C12" s="17">
        <f>-('Balance sheet'!G31)/20</f>
        <v>-610.5</v>
      </c>
      <c r="D12" s="18">
        <f>-C26/20</f>
        <v>-579.975</v>
      </c>
      <c r="E12" s="18">
        <f>-D26/20</f>
        <v>-550.9762500000001</v>
      </c>
      <c r="F12" s="18">
        <f>-E26/20</f>
        <v>-523.4274375</v>
      </c>
    </row>
    <row r="13" ht="20.05" customHeight="1">
      <c r="B13" t="s" s="10">
        <v>12</v>
      </c>
      <c r="C13" s="19">
        <f>IF(C21&gt;0,-C21*0.3,0)</f>
        <v>-141.629317658082</v>
      </c>
      <c r="D13" s="20">
        <f>IF(D21&gt;0,-D21*0.3,0)</f>
        <v>-138.138531304920</v>
      </c>
      <c r="E13" s="20">
        <f>IF(E21&gt;0,-E21*0.3,0)</f>
        <v>-158.664355061511</v>
      </c>
      <c r="F13" s="20">
        <f>IF(F21&gt;0,-F21*0.3,0)</f>
        <v>-187.400508320730</v>
      </c>
    </row>
    <row r="14" ht="20.05" customHeight="1">
      <c r="B14" t="s" s="10">
        <v>13</v>
      </c>
      <c r="C14" s="17">
        <f>C9+C10+C12+C13</f>
        <v>-229.031592131142</v>
      </c>
      <c r="D14" s="18">
        <f>D9+D10+D12+D13</f>
        <v>-206.651760288520</v>
      </c>
      <c r="E14" s="18">
        <f>E9+E10+E12+E13</f>
        <v>-129.759421523141</v>
      </c>
      <c r="F14" s="18">
        <f>F9+F10+F12+F13</f>
        <v>-35.159584751630</v>
      </c>
    </row>
    <row r="15" ht="20.05" customHeight="1">
      <c r="B15" t="s" s="10">
        <v>14</v>
      </c>
      <c r="C15" s="17">
        <f>-MIN(0,C14)</f>
        <v>229.031592131142</v>
      </c>
      <c r="D15" s="18">
        <f>-MIN(C27,D14)</f>
        <v>206.651760288520</v>
      </c>
      <c r="E15" s="18">
        <f>-MIN(D27,E14)</f>
        <v>129.759421523141</v>
      </c>
      <c r="F15" s="18">
        <f>-MIN(E27,F14)</f>
        <v>35.159584751630</v>
      </c>
    </row>
    <row r="16" ht="20.05" customHeight="1">
      <c r="B16" t="s" s="10">
        <v>15</v>
      </c>
      <c r="C16" s="17">
        <f>'Balance sheet'!C31</f>
        <v>2600</v>
      </c>
      <c r="D16" s="18">
        <f>C18</f>
        <v>2600</v>
      </c>
      <c r="E16" s="18">
        <f>D18</f>
        <v>2600</v>
      </c>
      <c r="F16" s="18">
        <f>E18</f>
        <v>2600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2600</v>
      </c>
      <c r="D18" s="18">
        <f>D16+D17</f>
        <v>2600</v>
      </c>
      <c r="E18" s="18">
        <f>E16+E17</f>
        <v>2600</v>
      </c>
      <c r="F18" s="18">
        <f>F16+F17</f>
        <v>2600</v>
      </c>
    </row>
    <row r="19" ht="20.05" customHeight="1">
      <c r="B19" t="s" s="21">
        <v>18</v>
      </c>
      <c r="C19" s="22"/>
      <c r="D19" s="23"/>
      <c r="E19" s="23"/>
      <c r="F19" s="24"/>
    </row>
    <row r="20" ht="20.05" customHeight="1">
      <c r="B20" t="s" s="10">
        <v>19</v>
      </c>
      <c r="C20" s="17">
        <f>-AVERAGE('Sales'!E31)</f>
        <v>-109.7</v>
      </c>
      <c r="D20" s="18">
        <f>C20</f>
        <v>-109.7</v>
      </c>
      <c r="E20" s="18">
        <f>D20</f>
        <v>-109.7</v>
      </c>
      <c r="F20" s="18">
        <f>E20</f>
        <v>-109.7</v>
      </c>
    </row>
    <row r="21" ht="20.05" customHeight="1">
      <c r="B21" t="s" s="10">
        <v>20</v>
      </c>
      <c r="C21" s="17">
        <f>C6+C8+C20</f>
        <v>472.097725526940</v>
      </c>
      <c r="D21" s="18">
        <f>D6+D8+D20</f>
        <v>460.4617710164</v>
      </c>
      <c r="E21" s="18">
        <f>E6+E8+E20</f>
        <v>528.881183538370</v>
      </c>
      <c r="F21" s="18">
        <f>F6+F8+F20</f>
        <v>624.6683610691</v>
      </c>
    </row>
    <row r="22" ht="20.05" customHeight="1">
      <c r="B22" t="s" s="21">
        <v>21</v>
      </c>
      <c r="C22" s="22"/>
      <c r="D22" s="23"/>
      <c r="E22" s="23"/>
      <c r="F22" s="23"/>
    </row>
    <row r="23" ht="20.05" customHeight="1">
      <c r="B23" t="s" s="10">
        <v>22</v>
      </c>
      <c r="C23" s="17">
        <f>'Balance sheet'!E31+'Balance sheet'!F31-C10</f>
        <v>24643.7</v>
      </c>
      <c r="D23" s="18">
        <f>C23-D10</f>
        <v>24702.4</v>
      </c>
      <c r="E23" s="18">
        <f>D23-E10</f>
        <v>24761.1</v>
      </c>
      <c r="F23" s="18">
        <f>E23-F10</f>
        <v>24819.8</v>
      </c>
    </row>
    <row r="24" ht="20.05" customHeight="1">
      <c r="B24" t="s" s="10">
        <v>23</v>
      </c>
      <c r="C24" s="17">
        <f>'Balance sheet'!F31-C20</f>
        <v>3785.7</v>
      </c>
      <c r="D24" s="18">
        <f>C24-D20</f>
        <v>3895.4</v>
      </c>
      <c r="E24" s="18">
        <f>D24-E20</f>
        <v>4005.1</v>
      </c>
      <c r="F24" s="18">
        <f>E24-F20</f>
        <v>4114.8</v>
      </c>
    </row>
    <row r="25" ht="20.05" customHeight="1">
      <c r="B25" t="s" s="10">
        <v>24</v>
      </c>
      <c r="C25" s="17">
        <f>C23-C24</f>
        <v>20858</v>
      </c>
      <c r="D25" s="18">
        <f>D23-D24</f>
        <v>20807</v>
      </c>
      <c r="E25" s="18">
        <f>E23-E24</f>
        <v>20756</v>
      </c>
      <c r="F25" s="18">
        <f>F23-F24</f>
        <v>20705</v>
      </c>
    </row>
    <row r="26" ht="20.05" customHeight="1">
      <c r="B26" t="s" s="10">
        <v>11</v>
      </c>
      <c r="C26" s="17">
        <f>'Balance sheet'!G31+C12</f>
        <v>11599.5</v>
      </c>
      <c r="D26" s="18">
        <f>C26+D12</f>
        <v>11019.525</v>
      </c>
      <c r="E26" s="18">
        <f>D26+E12</f>
        <v>10468.54875</v>
      </c>
      <c r="F26" s="18">
        <f>E26+F12</f>
        <v>9945.121312499999</v>
      </c>
    </row>
    <row r="27" ht="20.05" customHeight="1">
      <c r="B27" t="s" s="10">
        <v>14</v>
      </c>
      <c r="C27" s="17">
        <f>C15</f>
        <v>229.031592131142</v>
      </c>
      <c r="D27" s="18">
        <f>C27+D15</f>
        <v>435.683352419662</v>
      </c>
      <c r="E27" s="18">
        <f>D27+E15</f>
        <v>565.442773942803</v>
      </c>
      <c r="F27" s="18">
        <f>E27+F15</f>
        <v>600.602358694433</v>
      </c>
    </row>
    <row r="28" ht="20.05" customHeight="1">
      <c r="B28" t="s" s="10">
        <v>12</v>
      </c>
      <c r="C28" s="17">
        <f>'Balance sheet'!H31+C21+C13</f>
        <v>11629.4684078689</v>
      </c>
      <c r="D28" s="18">
        <f>C28+D21+D13</f>
        <v>11951.7916475804</v>
      </c>
      <c r="E28" s="18">
        <f>D28+E21+E13</f>
        <v>12322.0084760573</v>
      </c>
      <c r="F28" s="18">
        <f>E28+F21+F13</f>
        <v>12759.2763288057</v>
      </c>
    </row>
    <row r="29" ht="20.05" customHeight="1">
      <c r="B29" t="s" s="10">
        <v>25</v>
      </c>
      <c r="C29" s="17">
        <f>C26+C27+C28-C18-C25</f>
        <v>4.2e-11</v>
      </c>
      <c r="D29" s="18">
        <f>D26+D27+D28-D18-D25</f>
        <v>6.200000000000001e-11</v>
      </c>
      <c r="E29" s="18">
        <f>E26+E27+E28-E18-E25</f>
        <v>1.03e-10</v>
      </c>
      <c r="F29" s="18">
        <f>F26+F27+F28-F18-F25</f>
        <v>1.33e-10</v>
      </c>
    </row>
    <row r="30" ht="20.05" customHeight="1">
      <c r="B30" t="s" s="10">
        <v>26</v>
      </c>
      <c r="C30" s="17">
        <f>C18-C26-C27</f>
        <v>-9228.531592131139</v>
      </c>
      <c r="D30" s="18">
        <f>D18-D26-D27</f>
        <v>-8855.208352419661</v>
      </c>
      <c r="E30" s="18">
        <f>E18-E26-E27</f>
        <v>-8433.991523942799</v>
      </c>
      <c r="F30" s="18">
        <f>F18-F26-F27</f>
        <v>-7945.723671194430</v>
      </c>
    </row>
    <row r="31" ht="20.05" customHeight="1">
      <c r="B31" t="s" s="21">
        <v>27</v>
      </c>
      <c r="C31" s="17"/>
      <c r="D31" s="18"/>
      <c r="E31" s="18"/>
      <c r="F31" s="18"/>
    </row>
    <row r="32" ht="20.05" customHeight="1">
      <c r="B32" t="s" s="10">
        <v>28</v>
      </c>
      <c r="C32" s="17">
        <f>'Cashflow'!M31-C11</f>
        <v>4410.297725526940</v>
      </c>
      <c r="D32" s="18">
        <f>C32-D11</f>
        <v>4921.759496543340</v>
      </c>
      <c r="E32" s="18">
        <f>D32-E11</f>
        <v>5501.640680081710</v>
      </c>
      <c r="F32" s="18">
        <f>E32-F11</f>
        <v>6177.309041150810</v>
      </c>
    </row>
    <row r="33" ht="20.05" customHeight="1">
      <c r="B33" t="s" s="10">
        <v>29</v>
      </c>
      <c r="C33" s="17"/>
      <c r="D33" s="18"/>
      <c r="E33" s="18"/>
      <c r="F33" s="18">
        <v>16381876531200</v>
      </c>
    </row>
    <row r="34" ht="20.05" customHeight="1">
      <c r="B34" t="s" s="10">
        <v>29</v>
      </c>
      <c r="C34" s="17"/>
      <c r="D34" s="18"/>
      <c r="E34" s="18"/>
      <c r="F34" s="18">
        <f>F33/1000000000</f>
        <v>16381.8765312</v>
      </c>
    </row>
    <row r="35" ht="20.05" customHeight="1">
      <c r="B35" t="s" s="10">
        <v>30</v>
      </c>
      <c r="C35" s="17"/>
      <c r="D35" s="18"/>
      <c r="E35" s="18"/>
      <c r="F35" s="25">
        <f>F34/(F18+F25)</f>
        <v>0.702933985462347</v>
      </c>
    </row>
    <row r="36" ht="20.05" customHeight="1">
      <c r="B36" t="s" s="10">
        <v>31</v>
      </c>
      <c r="C36" s="17"/>
      <c r="D36" s="18"/>
      <c r="E36" s="18"/>
      <c r="F36" s="16">
        <f>-(C13+D13+E13+F13)/F34</f>
        <v>0.0382027486993518</v>
      </c>
    </row>
    <row r="37" ht="20.05" customHeight="1">
      <c r="B37" t="s" s="10">
        <v>32</v>
      </c>
      <c r="C37" s="17"/>
      <c r="D37" s="18"/>
      <c r="E37" s="18"/>
      <c r="F37" s="18">
        <f>SUM(C9:F10)</f>
        <v>2290.109041150810</v>
      </c>
    </row>
    <row r="38" ht="20.05" customHeight="1">
      <c r="B38" t="s" s="10">
        <v>33</v>
      </c>
      <c r="C38" s="17"/>
      <c r="D38" s="18"/>
      <c r="E38" s="18"/>
      <c r="F38" s="18">
        <f>'Balance sheet'!E31/F37</f>
        <v>9.130132943142719</v>
      </c>
    </row>
    <row r="39" ht="20.05" customHeight="1">
      <c r="B39" t="s" s="10">
        <v>27</v>
      </c>
      <c r="C39" s="17"/>
      <c r="D39" s="18"/>
      <c r="E39" s="18"/>
      <c r="F39" s="18">
        <f>F34/F37</f>
        <v>7.15331725993619</v>
      </c>
    </row>
    <row r="40" ht="20.05" customHeight="1">
      <c r="B40" t="s" s="10">
        <v>34</v>
      </c>
      <c r="C40" s="17"/>
      <c r="D40" s="18"/>
      <c r="E40" s="18"/>
      <c r="F40" s="18">
        <v>15</v>
      </c>
    </row>
    <row r="41" ht="20.05" customHeight="1">
      <c r="B41" t="s" s="10">
        <v>35</v>
      </c>
      <c r="C41" s="17"/>
      <c r="D41" s="18"/>
      <c r="E41" s="18"/>
      <c r="F41" s="18">
        <f>F37*F40</f>
        <v>34351.6356172622</v>
      </c>
    </row>
    <row r="42" ht="20.05" customHeight="1">
      <c r="B42" t="s" s="10">
        <v>36</v>
      </c>
      <c r="C42" s="17"/>
      <c r="D42" s="18"/>
      <c r="E42" s="18"/>
      <c r="F42" s="18">
        <f>F34/F44</f>
        <v>19.73720064</v>
      </c>
    </row>
    <row r="43" ht="20.05" customHeight="1">
      <c r="B43" t="s" s="10">
        <v>37</v>
      </c>
      <c r="C43" s="17"/>
      <c r="D43" s="18"/>
      <c r="E43" s="18"/>
      <c r="F43" s="18">
        <f>F41/F42</f>
        <v>1740.451254654830</v>
      </c>
    </row>
    <row r="44" ht="20.05" customHeight="1">
      <c r="B44" t="s" s="10">
        <v>38</v>
      </c>
      <c r="C44" s="17"/>
      <c r="D44" s="18"/>
      <c r="E44" s="18"/>
      <c r="F44" s="18">
        <v>830</v>
      </c>
    </row>
    <row r="45" ht="20.05" customHeight="1">
      <c r="B45" t="s" s="10">
        <v>39</v>
      </c>
      <c r="C45" s="17"/>
      <c r="D45" s="18"/>
      <c r="E45" s="18"/>
      <c r="F45" s="16">
        <f>F43/F44-1</f>
        <v>1.0969292224757</v>
      </c>
    </row>
    <row r="46" ht="20.05" customHeight="1">
      <c r="B46" t="s" s="10">
        <v>40</v>
      </c>
      <c r="C46" s="17"/>
      <c r="D46" s="18"/>
      <c r="E46" s="18"/>
      <c r="F46" s="16">
        <f>'Sales'!C31/'Sales'!C27-1</f>
        <v>1.19558670820353</v>
      </c>
    </row>
    <row r="47" ht="20.05" customHeight="1">
      <c r="B47" t="s" s="10">
        <v>41</v>
      </c>
      <c r="C47" s="17"/>
      <c r="D47" s="18"/>
      <c r="E47" s="18"/>
      <c r="F47" s="16">
        <f>('Sales'!D23+'Sales'!D31+'Sales'!D24+'Sales'!D25+'Sales'!D26+'Sales'!D27+'Sales'!D28+'Sales'!D29+'Sales'!D30)/('Sales'!C23+'Sales'!C24+'Sales'!C25+'Sales'!C26+'Sales'!C27+'Sales'!C28+'Sales'!C29+'Sales'!C31+'Sales'!C30)-1</f>
        <v>-0.0256425193228745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85156" style="26" customWidth="1"/>
    <col min="2" max="2" width="10.5312" style="26" customWidth="1"/>
    <col min="3" max="3" width="10.6484" style="26" customWidth="1"/>
    <col min="4" max="4" width="8.90625" style="26" customWidth="1"/>
    <col min="5" max="11" width="10.6484" style="26" customWidth="1"/>
    <col min="12" max="16384" width="16.3516" style="26" customWidth="1"/>
  </cols>
  <sheetData>
    <row r="1" ht="43.0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42</v>
      </c>
      <c r="G3" t="s" s="5">
        <v>43</v>
      </c>
      <c r="H3" t="s" s="5">
        <v>44</v>
      </c>
      <c r="I3" t="s" s="5">
        <v>44</v>
      </c>
      <c r="J3" t="s" s="5">
        <v>34</v>
      </c>
      <c r="K3" t="s" s="5">
        <v>45</v>
      </c>
    </row>
    <row r="4" ht="20.25" customHeight="1">
      <c r="B4" s="27">
        <v>2015</v>
      </c>
      <c r="C4" s="28">
        <v>4801</v>
      </c>
      <c r="D4" s="8"/>
      <c r="E4" s="29">
        <v>84</v>
      </c>
      <c r="F4" s="29">
        <v>315</v>
      </c>
      <c r="G4" s="9"/>
      <c r="H4" s="30">
        <f>(E4+F4-C4)/C4</f>
        <v>-0.916892314101229</v>
      </c>
      <c r="I4" s="9"/>
      <c r="J4" s="9"/>
      <c r="K4" s="9">
        <f>('Cashflow'!E4-'Cashflow'!C4)/'Cashflow'!C4</f>
        <v>-0.966236345580933</v>
      </c>
    </row>
    <row r="5" ht="20.05" customHeight="1">
      <c r="B5" s="31"/>
      <c r="C5" s="13">
        <v>5472</v>
      </c>
      <c r="D5" s="24"/>
      <c r="E5" s="14">
        <v>85</v>
      </c>
      <c r="F5" s="14">
        <v>315</v>
      </c>
      <c r="G5" s="16">
        <f>C5/C4-1</f>
        <v>0.139762549468861</v>
      </c>
      <c r="H5" s="16">
        <f>(E5+F5-C5)/C5</f>
        <v>-0.926900584795322</v>
      </c>
      <c r="I5" s="12"/>
      <c r="J5" s="12"/>
      <c r="K5" s="12">
        <f>('Cashflow'!E5-'Cashflow'!C5)/'Cashflow'!C5</f>
        <v>-0.935226706527155</v>
      </c>
    </row>
    <row r="6" ht="20.05" customHeight="1">
      <c r="B6" s="31"/>
      <c r="C6" s="13">
        <v>4761</v>
      </c>
      <c r="D6" s="24"/>
      <c r="E6" s="14">
        <v>88</v>
      </c>
      <c r="F6" s="14">
        <v>244</v>
      </c>
      <c r="G6" s="16">
        <f>C6/C5-1</f>
        <v>-0.129934210526316</v>
      </c>
      <c r="H6" s="16">
        <f>(E6+F6-C6)/C6</f>
        <v>-0.93026675068263</v>
      </c>
      <c r="I6" s="12"/>
      <c r="J6" s="12"/>
      <c r="K6" s="12">
        <f>('Cashflow'!E6-'Cashflow'!C6)/'Cashflow'!C6</f>
        <v>-0.908263695450325</v>
      </c>
    </row>
    <row r="7" ht="20.05" customHeight="1">
      <c r="B7" s="31"/>
      <c r="C7" s="13">
        <v>4731</v>
      </c>
      <c r="D7" s="24"/>
      <c r="E7" s="14">
        <v>96</v>
      </c>
      <c r="F7" s="14">
        <v>185</v>
      </c>
      <c r="G7" s="16">
        <f>C7/C6-1</f>
        <v>-0.00630119722747322</v>
      </c>
      <c r="H7" s="16">
        <f>(E7+F7-C7)/C7</f>
        <v>-0.940604523356584</v>
      </c>
      <c r="I7" s="12"/>
      <c r="J7" s="12"/>
      <c r="K7" s="12">
        <f>('Cashflow'!E7-'Cashflow'!C7)/'Cashflow'!C7</f>
        <v>-1.01909691236837</v>
      </c>
    </row>
    <row r="8" ht="20.05" customHeight="1">
      <c r="B8" s="32">
        <v>2016</v>
      </c>
      <c r="C8" s="13">
        <v>3572</v>
      </c>
      <c r="D8" s="24"/>
      <c r="E8" s="14">
        <v>86</v>
      </c>
      <c r="F8" s="14">
        <v>259</v>
      </c>
      <c r="G8" s="16">
        <f>C8/C7-1</f>
        <v>-0.244979919678715</v>
      </c>
      <c r="H8" s="16">
        <f>(E8+F8-C8)/C8</f>
        <v>-0.903415453527436</v>
      </c>
      <c r="I8" s="12">
        <f>AVERAGE(H5:H8)</f>
        <v>-0.925296828090493</v>
      </c>
      <c r="J8" s="12"/>
      <c r="K8" s="12">
        <f>('Cashflow'!E8-'Cashflow'!C8)/'Cashflow'!C8</f>
        <v>-1.08946716232962</v>
      </c>
    </row>
    <row r="9" ht="20.05" customHeight="1">
      <c r="B9" s="31"/>
      <c r="C9" s="13">
        <v>3796</v>
      </c>
      <c r="D9" s="24"/>
      <c r="E9" s="14">
        <v>86</v>
      </c>
      <c r="F9" s="14">
        <v>360</v>
      </c>
      <c r="G9" s="16">
        <f>C9/C8-1</f>
        <v>0.0627099664053751</v>
      </c>
      <c r="H9" s="16">
        <f>(E9+F9-C9)/C9</f>
        <v>-0.882507903055848</v>
      </c>
      <c r="I9" s="12">
        <f>AVERAGE(H6:H9)</f>
        <v>-0.914198657655625</v>
      </c>
      <c r="J9" s="12"/>
      <c r="K9" s="12">
        <f>('Cashflow'!E9-'Cashflow'!C9)/'Cashflow'!C9</f>
        <v>-0.9892275354703099</v>
      </c>
    </row>
    <row r="10" ht="20.05" customHeight="1">
      <c r="B10" s="31"/>
      <c r="C10" s="13">
        <v>3584</v>
      </c>
      <c r="D10" s="24"/>
      <c r="E10" s="14">
        <v>84</v>
      </c>
      <c r="F10" s="14">
        <v>195</v>
      </c>
      <c r="G10" s="16">
        <f>C10/C9-1</f>
        <v>-0.0558482613277134</v>
      </c>
      <c r="H10" s="16">
        <f>(E10+F10-C10)/C10</f>
        <v>-0.922154017857143</v>
      </c>
      <c r="I10" s="12">
        <f>AVERAGE(H7:H10)</f>
        <v>-0.912170474449253</v>
      </c>
      <c r="J10" s="12"/>
      <c r="K10" s="12">
        <f>('Cashflow'!E10-'Cashflow'!C10)/'Cashflow'!C10</f>
        <v>-0.884942836292873</v>
      </c>
    </row>
    <row r="11" ht="20.05" customHeight="1">
      <c r="B11" s="31"/>
      <c r="C11" s="13">
        <v>4261</v>
      </c>
      <c r="D11" s="24"/>
      <c r="E11" s="14">
        <v>90</v>
      </c>
      <c r="F11" s="14">
        <v>233</v>
      </c>
      <c r="G11" s="16">
        <f>C11/C10-1</f>
        <v>0.188895089285714</v>
      </c>
      <c r="H11" s="16">
        <f>(E11+F11-C11)/C11</f>
        <v>-0.924196198075569</v>
      </c>
      <c r="I11" s="12">
        <f>AVERAGE(H8:H11)</f>
        <v>-0.908068393128999</v>
      </c>
      <c r="J11" s="12"/>
      <c r="K11" s="12">
        <f>('Cashflow'!E11-'Cashflow'!C11)/'Cashflow'!C11</f>
        <v>-0.894947368421053</v>
      </c>
    </row>
    <row r="12" ht="20.05" customHeight="1">
      <c r="B12" s="32">
        <v>2017</v>
      </c>
      <c r="C12" s="13">
        <v>4341</v>
      </c>
      <c r="D12" s="24"/>
      <c r="E12" s="14">
        <v>85</v>
      </c>
      <c r="F12" s="14">
        <v>289</v>
      </c>
      <c r="G12" s="16">
        <f>C12/C11-1</f>
        <v>0.0187749354611594</v>
      </c>
      <c r="H12" s="16">
        <f>(E12+F12-C12)/C12</f>
        <v>-0.91384473623589</v>
      </c>
      <c r="I12" s="12">
        <f>AVERAGE(H9:H12)</f>
        <v>-0.910675713806113</v>
      </c>
      <c r="J12" s="12"/>
      <c r="K12" s="12">
        <f>('Cashflow'!E12-'Cashflow'!C12)/'Cashflow'!C12</f>
        <v>-0.974483062032556</v>
      </c>
    </row>
    <row r="13" ht="20.05" customHeight="1">
      <c r="B13" s="31"/>
      <c r="C13" s="13">
        <v>4880</v>
      </c>
      <c r="D13" s="24"/>
      <c r="E13" s="14">
        <v>88</v>
      </c>
      <c r="F13" s="14">
        <v>394</v>
      </c>
      <c r="G13" s="16">
        <f>C13/C12-1</f>
        <v>0.124164938954158</v>
      </c>
      <c r="H13" s="16">
        <f>(E13+F13-C13)/C13</f>
        <v>-0.901229508196721</v>
      </c>
      <c r="I13" s="12">
        <f>AVERAGE(H10:H13)</f>
        <v>-0.915356115091331</v>
      </c>
      <c r="J13" s="12"/>
      <c r="K13" s="12">
        <f>('Cashflow'!E13-'Cashflow'!C13)/'Cashflow'!C13</f>
        <v>-0.977848775292865</v>
      </c>
    </row>
    <row r="14" ht="20.05" customHeight="1">
      <c r="B14" s="31"/>
      <c r="C14" s="13">
        <v>4208</v>
      </c>
      <c r="D14" s="24"/>
      <c r="E14" s="14">
        <v>71</v>
      </c>
      <c r="F14" s="14">
        <v>130</v>
      </c>
      <c r="G14" s="16">
        <f>C14/C13-1</f>
        <v>-0.137704918032787</v>
      </c>
      <c r="H14" s="16">
        <f>(E14+F14-C14)/C14</f>
        <v>-0.952233840304183</v>
      </c>
      <c r="I14" s="12">
        <f>AVERAGE(H11:H14)</f>
        <v>-0.922876070703091</v>
      </c>
      <c r="J14" s="12"/>
      <c r="K14" s="12">
        <f>('Cashflow'!E14-'Cashflow'!C14)/'Cashflow'!C14</f>
        <v>-0.898220244716352</v>
      </c>
    </row>
    <row r="15" ht="20.05" customHeight="1">
      <c r="B15" s="31"/>
      <c r="C15" s="13">
        <v>4859</v>
      </c>
      <c r="D15" s="24"/>
      <c r="E15" s="14">
        <v>100</v>
      </c>
      <c r="F15" s="14">
        <v>188</v>
      </c>
      <c r="G15" s="16">
        <f>C15/C14-1</f>
        <v>0.154705323193916</v>
      </c>
      <c r="H15" s="16">
        <f>(E15+F15-C15)/C15</f>
        <v>-0.9407285449681</v>
      </c>
      <c r="I15" s="12">
        <f>AVERAGE(H12:H15)</f>
        <v>-0.927009157426224</v>
      </c>
      <c r="J15" s="12"/>
      <c r="K15" s="12">
        <f>('Cashflow'!E15-'Cashflow'!C15)/'Cashflow'!C15</f>
        <v>-1.01827731092437</v>
      </c>
    </row>
    <row r="16" ht="20.05" customHeight="1">
      <c r="B16" s="32">
        <v>2018</v>
      </c>
      <c r="C16" s="13">
        <v>5834</v>
      </c>
      <c r="D16" s="24"/>
      <c r="E16" s="14">
        <v>80</v>
      </c>
      <c r="F16" s="14">
        <v>191</v>
      </c>
      <c r="G16" s="16">
        <f>C16/C15-1</f>
        <v>0.200658571722577</v>
      </c>
      <c r="H16" s="16">
        <f>(E16+F16-C16)/C16</f>
        <v>-0.953548165923894</v>
      </c>
      <c r="I16" s="12">
        <f>AVERAGE(H13:H16)</f>
        <v>-0.9369350148482249</v>
      </c>
      <c r="J16" s="12"/>
      <c r="K16" s="12">
        <f>('Cashflow'!E16-'Cashflow'!C16)/'Cashflow'!C16</f>
        <v>-1.03979004402303</v>
      </c>
    </row>
    <row r="17" ht="20.05" customHeight="1">
      <c r="B17" s="31"/>
      <c r="C17" s="13">
        <v>5380</v>
      </c>
      <c r="D17" s="24"/>
      <c r="E17" s="14">
        <v>80</v>
      </c>
      <c r="F17" s="14">
        <v>175</v>
      </c>
      <c r="G17" s="16">
        <f>C17/C16-1</f>
        <v>-0.0778196777511142</v>
      </c>
      <c r="H17" s="16">
        <f>(E17+F17-C17)/C17</f>
        <v>-0.952602230483271</v>
      </c>
      <c r="I17" s="12">
        <f>AVERAGE(H14:H17)</f>
        <v>-0.949778195419862</v>
      </c>
      <c r="J17" s="12"/>
      <c r="K17" s="12">
        <f>('Cashflow'!E17-'Cashflow'!C17)/'Cashflow'!C17</f>
        <v>-1.05519748801851</v>
      </c>
    </row>
    <row r="18" ht="20.05" customHeight="1">
      <c r="B18" s="31"/>
      <c r="C18" s="13">
        <v>5615</v>
      </c>
      <c r="D18" s="24"/>
      <c r="E18" s="14">
        <v>61</v>
      </c>
      <c r="F18" s="14">
        <v>163</v>
      </c>
      <c r="G18" s="16">
        <f>C18/C17-1</f>
        <v>0.0436802973977695</v>
      </c>
      <c r="H18" s="16">
        <f>(E18+F18-C18)/C18</f>
        <v>-0.960106856634016</v>
      </c>
      <c r="I18" s="12">
        <f>AVERAGE(H15:H18)</f>
        <v>-0.95174644950232</v>
      </c>
      <c r="J18" s="12"/>
      <c r="K18" s="12">
        <f>('Cashflow'!E18-'Cashflow'!C18)/'Cashflow'!C18</f>
        <v>-0.883418043202033</v>
      </c>
    </row>
    <row r="19" ht="20.05" customHeight="1">
      <c r="B19" s="31"/>
      <c r="C19" s="13">
        <v>6719</v>
      </c>
      <c r="D19" s="24"/>
      <c r="E19" s="14">
        <v>71</v>
      </c>
      <c r="F19" s="14">
        <v>134</v>
      </c>
      <c r="G19" s="16">
        <f>C19/C18-1</f>
        <v>0.196616206589492</v>
      </c>
      <c r="H19" s="16">
        <f>(E19+F19-C19)/C19</f>
        <v>-0.969489507367168</v>
      </c>
      <c r="I19" s="12">
        <f>AVERAGE(H16:H19)</f>
        <v>-0.958936690102087</v>
      </c>
      <c r="J19" s="12"/>
      <c r="K19" s="12">
        <f>('Cashflow'!E19-'Cashflow'!C19)/'Cashflow'!C19</f>
        <v>-1.02936281502615</v>
      </c>
    </row>
    <row r="20" ht="20.05" customHeight="1">
      <c r="B20" s="32">
        <v>2019</v>
      </c>
      <c r="C20" s="13">
        <v>5038</v>
      </c>
      <c r="D20" s="24"/>
      <c r="E20" s="14">
        <v>79</v>
      </c>
      <c r="F20" s="14">
        <v>191</v>
      </c>
      <c r="G20" s="16">
        <f>C20/C19-1</f>
        <v>-0.250186039589225</v>
      </c>
      <c r="H20" s="16">
        <f>(E20+F20-C20)/C20</f>
        <v>-0.946407304485907</v>
      </c>
      <c r="I20" s="12">
        <f>AVERAGE(H17:H20)</f>
        <v>-0.957151474742591</v>
      </c>
      <c r="J20" s="12"/>
      <c r="K20" s="12">
        <f>('Cashflow'!E20-'Cashflow'!C20)/'Cashflow'!C20</f>
        <v>-1.07037418468932</v>
      </c>
    </row>
    <row r="21" ht="20.05" customHeight="1">
      <c r="B21" s="31"/>
      <c r="C21" s="13">
        <v>4676</v>
      </c>
      <c r="D21" s="24"/>
      <c r="E21" s="14">
        <v>83</v>
      </c>
      <c r="F21" s="14">
        <v>169</v>
      </c>
      <c r="G21" s="16">
        <f>C21/C20-1</f>
        <v>-0.07185391028185791</v>
      </c>
      <c r="H21" s="16">
        <f>(E21+F21-C21)/C21</f>
        <v>-0.946107784431138</v>
      </c>
      <c r="I21" s="12">
        <f>AVERAGE(H18:H21)</f>
        <v>-0.955527863229557</v>
      </c>
      <c r="J21" s="12"/>
      <c r="K21" s="12">
        <f>('Cashflow'!E21-'Cashflow'!C21)/'Cashflow'!C21</f>
        <v>-1.06554028963981</v>
      </c>
    </row>
    <row r="22" ht="20.05" customHeight="1">
      <c r="B22" s="31"/>
      <c r="C22" s="13">
        <v>5405</v>
      </c>
      <c r="D22" s="24"/>
      <c r="E22" s="14">
        <v>77</v>
      </c>
      <c r="F22" s="14">
        <v>158</v>
      </c>
      <c r="G22" s="16">
        <f>C22/C21-1</f>
        <v>0.15590248075278</v>
      </c>
      <c r="H22" s="16">
        <f>(E22+F22-C22)/C22</f>
        <v>-0.956521739130435</v>
      </c>
      <c r="I22" s="12">
        <f>AVERAGE(H19:H22)</f>
        <v>-0.954631583853662</v>
      </c>
      <c r="J22" s="12"/>
      <c r="K22" s="12">
        <f>('Cashflow'!E22-'Cashflow'!C22)/'Cashflow'!C22</f>
        <v>-0.957542099605876</v>
      </c>
    </row>
    <row r="23" ht="20.05" customHeight="1">
      <c r="B23" s="31"/>
      <c r="C23" s="13">
        <v>6583.6</v>
      </c>
      <c r="D23" s="14">
        <v>5711.15</v>
      </c>
      <c r="E23" s="14">
        <v>87.8</v>
      </c>
      <c r="F23" s="14">
        <v>181</v>
      </c>
      <c r="G23" s="16">
        <f>C23/C22-1</f>
        <v>0.218057354301573</v>
      </c>
      <c r="H23" s="16">
        <f>(E23+F23-C23)/C23</f>
        <v>-0.959171274074974</v>
      </c>
      <c r="I23" s="12">
        <f>AVERAGE(H20:H23)</f>
        <v>-0.952052025530614</v>
      </c>
      <c r="J23" s="12"/>
      <c r="K23" s="12">
        <f>('Cashflow'!E23-'Cashflow'!C23)/'Cashflow'!C23</f>
        <v>-0.8200029655990509</v>
      </c>
    </row>
    <row r="24" ht="20.05" customHeight="1">
      <c r="B24" s="32">
        <v>2020</v>
      </c>
      <c r="C24" s="13">
        <v>6345</v>
      </c>
      <c r="D24" s="14">
        <v>5038</v>
      </c>
      <c r="E24" s="14">
        <f>84.9+5.3</f>
        <v>90.2</v>
      </c>
      <c r="F24" s="14">
        <v>241</v>
      </c>
      <c r="G24" s="16">
        <f>C24/C23-1</f>
        <v>-0.0362415699617231</v>
      </c>
      <c r="H24" s="16">
        <f>(E24+F24-C24)/C24</f>
        <v>-0.947801418439716</v>
      </c>
      <c r="I24" s="12">
        <f>AVERAGE(H21:H24)</f>
        <v>-0.952400554019066</v>
      </c>
      <c r="J24" s="12"/>
      <c r="K24" s="12">
        <f>('Cashflow'!E24-'Cashflow'!C24)/'Cashflow'!C24</f>
        <v>-1.03475655430712</v>
      </c>
    </row>
    <row r="25" ht="20.05" customHeight="1">
      <c r="B25" s="31"/>
      <c r="C25" s="13">
        <v>3656</v>
      </c>
      <c r="D25" s="14">
        <v>5611.2</v>
      </c>
      <c r="E25" s="14">
        <f>22.8+171.1-E24</f>
        <v>103.7</v>
      </c>
      <c r="F25" s="14">
        <v>211</v>
      </c>
      <c r="G25" s="16">
        <f>C25/C24-1</f>
        <v>-0.423798266351458</v>
      </c>
      <c r="H25" s="16">
        <f>(E25+F25-C25)/C25</f>
        <v>-0.913922319474836</v>
      </c>
      <c r="I25" s="12">
        <f>AVERAGE(H22:H25)</f>
        <v>-0.94435418777999</v>
      </c>
      <c r="J25" s="12"/>
      <c r="K25" s="12">
        <f>('Cashflow'!E25-'Cashflow'!C25)/'Cashflow'!C25</f>
        <v>-1.04247660187185</v>
      </c>
    </row>
    <row r="26" ht="20.05" customHeight="1">
      <c r="B26" s="31"/>
      <c r="C26" s="13">
        <v>3862</v>
      </c>
      <c r="D26" s="14">
        <v>4594.25</v>
      </c>
      <c r="E26" s="14">
        <f>251.7+34.2-E25-E24</f>
        <v>92</v>
      </c>
      <c r="F26" s="14">
        <f>685-F25-F24</f>
        <v>233</v>
      </c>
      <c r="G26" s="16">
        <f>C26/C25-1</f>
        <v>0.0563457330415755</v>
      </c>
      <c r="H26" s="16">
        <f>(E26+F26-C26)/C26</f>
        <v>-0.915846711548421</v>
      </c>
      <c r="I26" s="12">
        <f>AVERAGE(H23:H26)</f>
        <v>-0.934185430884487</v>
      </c>
      <c r="J26" s="12"/>
      <c r="K26" s="12">
        <f>('Cashflow'!E26-'Cashflow'!C26)/'Cashflow'!C26</f>
        <v>-0.7202283849918431</v>
      </c>
    </row>
    <row r="27" ht="20.05" customHeight="1">
      <c r="B27" s="31"/>
      <c r="C27" s="13">
        <v>3852</v>
      </c>
      <c r="D27" s="14">
        <v>4634.4</v>
      </c>
      <c r="E27" s="14">
        <f>39.4+4.5+336.7-SUM(E24:E26)</f>
        <v>94.7</v>
      </c>
      <c r="F27" s="14">
        <f>962-SUM(F24:F26)</f>
        <v>277</v>
      </c>
      <c r="G27" s="16">
        <f>C27/C26-1</f>
        <v>-0.00258933195235629</v>
      </c>
      <c r="H27" s="16">
        <f>(E27+F27-C27)/C27</f>
        <v>-0.903504672897196</v>
      </c>
      <c r="I27" s="12">
        <f>AVERAGE(H24:H27)</f>
        <v>-0.920268780590042</v>
      </c>
      <c r="J27" s="12"/>
      <c r="K27" s="12">
        <f>('Cashflow'!E27-'Cashflow'!C27)/'Cashflow'!C27</f>
        <v>-0.961610023787654</v>
      </c>
    </row>
    <row r="28" ht="20.05" customHeight="1">
      <c r="B28" s="32">
        <v>2021</v>
      </c>
      <c r="C28" s="17">
        <f>5055.2+56.2</f>
        <v>5111.4</v>
      </c>
      <c r="D28" s="14">
        <v>3967.56</v>
      </c>
      <c r="E28" s="18">
        <f>10.2+88</f>
        <v>98.2</v>
      </c>
      <c r="F28" s="18">
        <v>380.2</v>
      </c>
      <c r="G28" s="16">
        <f>C28/C27-1</f>
        <v>0.326947040498442</v>
      </c>
      <c r="H28" s="16">
        <f>(E28+F28-C28)/C28</f>
        <v>-0.906405290135775</v>
      </c>
      <c r="I28" s="12">
        <f>AVERAGE(H25:H28)</f>
        <v>-0.909919748514057</v>
      </c>
      <c r="J28" s="12"/>
      <c r="K28" s="12">
        <f>('Cashflow'!E28-'Cashflow'!C28)/'Cashflow'!C28</f>
        <v>-0.763902643406719</v>
      </c>
    </row>
    <row r="29" ht="20.05" customHeight="1">
      <c r="B29" s="31"/>
      <c r="C29" s="17">
        <f>10592.7+113.6-C28</f>
        <v>5594.9</v>
      </c>
      <c r="D29" s="14">
        <v>5775.882</v>
      </c>
      <c r="E29" s="18">
        <f>176.3+19.1-E28</f>
        <v>97.2</v>
      </c>
      <c r="F29" s="20">
        <v>230.2</v>
      </c>
      <c r="G29" s="16">
        <f>C29/C28-1</f>
        <v>0.0945924795555034</v>
      </c>
      <c r="H29" s="16">
        <f>(E29+F29-C29)/C29</f>
        <v>-0.941482421491001</v>
      </c>
      <c r="I29" s="12">
        <f>AVERAGE(H26:H29)</f>
        <v>-0.916809774018098</v>
      </c>
      <c r="J29" s="12"/>
      <c r="K29" s="12">
        <f>('Cashflow'!E29-'Cashflow'!C29)/'Cashflow'!C29</f>
        <v>-0.936991790077385</v>
      </c>
    </row>
    <row r="30" ht="20.05" customHeight="1">
      <c r="B30" s="31"/>
      <c r="C30" s="17">
        <f>17073+176.5-SUM(C28:C29)</f>
        <v>6543.2</v>
      </c>
      <c r="D30" s="14">
        <v>5538.951</v>
      </c>
      <c r="E30" s="18">
        <f>265.3+29.7-SUM(E28:E29)</f>
        <v>99.59999999999999</v>
      </c>
      <c r="F30" s="20">
        <f>836.4-SUM(F28:F29)</f>
        <v>226</v>
      </c>
      <c r="G30" s="16">
        <f>C30/C29-1</f>
        <v>0.169493645999035</v>
      </c>
      <c r="H30" s="16">
        <f>(E30+F30-C30)/C30</f>
        <v>-0.9502384154542119</v>
      </c>
      <c r="I30" s="12">
        <f>AVERAGE(H27:H30)</f>
        <v>-0.925407699994546</v>
      </c>
      <c r="J30" s="12"/>
      <c r="K30" s="12">
        <f>('Cashflow'!E30-'Cashflow'!C30)/'Cashflow'!C30</f>
        <v>-1.04787412654504</v>
      </c>
    </row>
    <row r="31" ht="20.05" customHeight="1">
      <c r="B31" s="31"/>
      <c r="C31" s="17">
        <f>25463.3+243.6-SUM(C28:C30)</f>
        <v>8457.4</v>
      </c>
      <c r="D31" s="14">
        <v>7851.84</v>
      </c>
      <c r="E31" s="18">
        <f>356.9+47.8-SUM(E28:E30)</f>
        <v>109.7</v>
      </c>
      <c r="F31" s="14">
        <f>1135-SUM(F28:F30)</f>
        <v>298.6</v>
      </c>
      <c r="G31" s="16">
        <f>C31/C30-1</f>
        <v>0.292547988751681</v>
      </c>
      <c r="H31" s="16">
        <f>(E31+F31-C31)/C31</f>
        <v>-0.9517227516730909</v>
      </c>
      <c r="I31" s="12">
        <f>AVERAGE(H28:H31)</f>
        <v>-0.9374622196885199</v>
      </c>
      <c r="J31" s="12">
        <f>I31</f>
        <v>-0.9374622196885199</v>
      </c>
      <c r="K31" s="12">
        <f>('Cashflow'!E32-'Cashflow'!C32)/'Cashflow'!C32</f>
      </c>
    </row>
    <row r="32" ht="20.05" customHeight="1">
      <c r="B32" s="32">
        <v>2022</v>
      </c>
      <c r="C32" s="33"/>
      <c r="D32" s="14">
        <f>'Model'!C6</f>
        <v>9303.139999999999</v>
      </c>
      <c r="E32" s="24"/>
      <c r="F32" s="14"/>
      <c r="G32" s="12"/>
      <c r="H32" s="24"/>
      <c r="I32" s="24"/>
      <c r="J32" s="16">
        <f>'Model'!C7</f>
        <v>-0.9374622196885199</v>
      </c>
      <c r="K32" s="24"/>
    </row>
    <row r="33" ht="20.05" customHeight="1">
      <c r="B33" s="31"/>
      <c r="C33" s="33"/>
      <c r="D33" s="14">
        <f>'Model'!D6</f>
        <v>9117.0772</v>
      </c>
      <c r="E33" s="24"/>
      <c r="F33" s="24"/>
      <c r="G33" s="24"/>
      <c r="H33" s="24"/>
      <c r="I33" s="24"/>
      <c r="J33" s="24"/>
      <c r="K33" s="24"/>
    </row>
    <row r="34" ht="20.05" customHeight="1">
      <c r="B34" s="31"/>
      <c r="C34" s="33"/>
      <c r="D34" s="14">
        <f>'Model'!E6</f>
        <v>10211.126464</v>
      </c>
      <c r="E34" s="24"/>
      <c r="F34" s="24"/>
      <c r="G34" s="24"/>
      <c r="H34" s="24"/>
      <c r="I34" s="24"/>
      <c r="J34" s="24"/>
      <c r="K34" s="24"/>
    </row>
    <row r="35" ht="20.05" customHeight="1">
      <c r="B35" s="31"/>
      <c r="C35" s="33"/>
      <c r="D35" s="14">
        <f>'Model'!F6</f>
        <v>11742.7954336</v>
      </c>
      <c r="E35" s="24"/>
      <c r="F35" s="24"/>
      <c r="G35" s="24"/>
      <c r="H35" s="24"/>
      <c r="I35" s="24"/>
      <c r="J35" s="24"/>
      <c r="K35" s="24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6.35156" style="34" customWidth="1"/>
    <col min="2" max="2" width="7.60938" style="34" customWidth="1"/>
    <col min="3" max="3" width="12.1172" style="34" customWidth="1"/>
    <col min="4" max="5" width="9.82812" style="34" customWidth="1"/>
    <col min="6" max="6" width="11.3594" style="34" customWidth="1"/>
    <col min="7" max="14" width="10.6328" style="34" customWidth="1"/>
    <col min="15" max="16384" width="16.3516" style="34" customWidth="1"/>
  </cols>
  <sheetData>
    <row r="1" ht="20.7" customHeight="1"/>
    <row r="2" ht="27.65" customHeight="1">
      <c r="B2" t="s" s="2">
        <v>32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47</v>
      </c>
      <c r="E3" t="s" s="5">
        <v>8</v>
      </c>
      <c r="F3" t="s" s="5">
        <v>9</v>
      </c>
      <c r="G3" t="s" s="5">
        <v>48</v>
      </c>
      <c r="H3" t="s" s="5">
        <v>12</v>
      </c>
      <c r="I3" t="s" s="5">
        <v>49</v>
      </c>
      <c r="J3" t="s" s="5">
        <v>50</v>
      </c>
      <c r="K3" t="s" s="5">
        <v>32</v>
      </c>
      <c r="L3" t="s" s="5">
        <v>34</v>
      </c>
      <c r="M3" t="s" s="5">
        <v>51</v>
      </c>
      <c r="N3" t="s" s="5">
        <v>34</v>
      </c>
    </row>
    <row r="4" ht="20.25" customHeight="1">
      <c r="B4" s="27">
        <v>2015</v>
      </c>
      <c r="C4" s="35">
        <v>6042</v>
      </c>
      <c r="D4" s="36"/>
      <c r="E4" s="36">
        <v>204</v>
      </c>
      <c r="F4" s="36">
        <v>-67</v>
      </c>
      <c r="G4" s="36"/>
      <c r="H4" s="36"/>
      <c r="I4" s="36">
        <v>195</v>
      </c>
      <c r="J4" s="36">
        <f>E4+F4</f>
        <v>137</v>
      </c>
      <c r="K4" s="37"/>
      <c r="L4" s="36"/>
      <c r="M4" s="36">
        <f>-I4</f>
        <v>-195</v>
      </c>
      <c r="N4" s="36"/>
    </row>
    <row r="5" ht="20.05" customHeight="1">
      <c r="B5" s="31"/>
      <c r="C5" s="17">
        <v>6021</v>
      </c>
      <c r="D5" s="18"/>
      <c r="E5" s="18">
        <v>390</v>
      </c>
      <c r="F5" s="18">
        <v>-84</v>
      </c>
      <c r="G5" s="18"/>
      <c r="H5" s="18"/>
      <c r="I5" s="18">
        <v>-205</v>
      </c>
      <c r="J5" s="18">
        <f>E5+F5</f>
        <v>306</v>
      </c>
      <c r="K5" s="23"/>
      <c r="L5" s="18"/>
      <c r="M5" s="18">
        <f>-I5+M4</f>
        <v>10</v>
      </c>
      <c r="N5" s="18"/>
    </row>
    <row r="6" ht="20.05" customHeight="1">
      <c r="B6" s="31"/>
      <c r="C6" s="17">
        <v>5385</v>
      </c>
      <c r="D6" s="18"/>
      <c r="E6" s="18">
        <v>494</v>
      </c>
      <c r="F6" s="18">
        <v>-59</v>
      </c>
      <c r="G6" s="18"/>
      <c r="H6" s="18"/>
      <c r="I6" s="18">
        <v>-266</v>
      </c>
      <c r="J6" s="18">
        <f>E6+F6</f>
        <v>435</v>
      </c>
      <c r="K6" s="23"/>
      <c r="L6" s="18"/>
      <c r="M6" s="18">
        <f>-I6+M5</f>
        <v>276</v>
      </c>
      <c r="N6" s="18"/>
    </row>
    <row r="7" ht="20.05" customHeight="1">
      <c r="B7" s="31"/>
      <c r="C7" s="17">
        <v>5603</v>
      </c>
      <c r="D7" s="18"/>
      <c r="E7" s="18">
        <v>-107</v>
      </c>
      <c r="F7" s="18">
        <v>-70</v>
      </c>
      <c r="G7" s="18"/>
      <c r="H7" s="18"/>
      <c r="I7" s="18">
        <v>119</v>
      </c>
      <c r="J7" s="18">
        <f>E7+F7</f>
        <v>-177</v>
      </c>
      <c r="K7" s="23"/>
      <c r="L7" s="18"/>
      <c r="M7" s="18">
        <f>-I7+M6</f>
        <v>157</v>
      </c>
      <c r="N7" s="18"/>
    </row>
    <row r="8" ht="20.05" customHeight="1">
      <c r="B8" s="32">
        <v>2016</v>
      </c>
      <c r="C8" s="17">
        <v>4035</v>
      </c>
      <c r="D8" s="18"/>
      <c r="E8" s="18">
        <v>-361</v>
      </c>
      <c r="F8" s="18">
        <v>-407</v>
      </c>
      <c r="G8" s="18"/>
      <c r="H8" s="18"/>
      <c r="I8" s="18">
        <v>123</v>
      </c>
      <c r="J8" s="18">
        <f>E8+F8</f>
        <v>-768</v>
      </c>
      <c r="K8" s="18">
        <f>AVERAGE(J5:J8)</f>
        <v>-51</v>
      </c>
      <c r="L8" s="18"/>
      <c r="M8" s="18">
        <f>-I8+M7</f>
        <v>34</v>
      </c>
      <c r="N8" s="18"/>
    </row>
    <row r="9" ht="20.05" customHeight="1">
      <c r="B9" s="31"/>
      <c r="C9" s="17">
        <v>3806</v>
      </c>
      <c r="D9" s="18"/>
      <c r="E9" s="18">
        <v>41</v>
      </c>
      <c r="F9" s="18">
        <v>-91</v>
      </c>
      <c r="G9" s="18"/>
      <c r="H9" s="18"/>
      <c r="I9" s="18">
        <v>181</v>
      </c>
      <c r="J9" s="18">
        <f>E9+F9</f>
        <v>-50</v>
      </c>
      <c r="K9" s="18">
        <f>AVERAGE(J6:J9)</f>
        <v>-140</v>
      </c>
      <c r="L9" s="18"/>
      <c r="M9" s="18">
        <f>-I9+M8</f>
        <v>-147</v>
      </c>
      <c r="N9" s="18"/>
    </row>
    <row r="10" ht="20.05" customHeight="1">
      <c r="B10" s="31"/>
      <c r="C10" s="17">
        <v>4111</v>
      </c>
      <c r="D10" s="18"/>
      <c r="E10" s="18">
        <v>473</v>
      </c>
      <c r="F10" s="18">
        <v>-143</v>
      </c>
      <c r="G10" s="18"/>
      <c r="H10" s="18"/>
      <c r="I10" s="18">
        <v>-294</v>
      </c>
      <c r="J10" s="18">
        <f>E10+F10</f>
        <v>330</v>
      </c>
      <c r="K10" s="18">
        <f>AVERAGE(J7:J10)</f>
        <v>-166.25</v>
      </c>
      <c r="L10" s="18"/>
      <c r="M10" s="18">
        <f>-I10+M9</f>
        <v>147</v>
      </c>
      <c r="N10" s="18"/>
    </row>
    <row r="11" ht="20.05" customHeight="1">
      <c r="B11" s="31"/>
      <c r="C11" s="17">
        <v>4750</v>
      </c>
      <c r="D11" s="18"/>
      <c r="E11" s="18">
        <v>499</v>
      </c>
      <c r="F11" s="18">
        <v>-48</v>
      </c>
      <c r="G11" s="18"/>
      <c r="H11" s="18"/>
      <c r="I11" s="18">
        <v>71</v>
      </c>
      <c r="J11" s="18">
        <f>E11+F11</f>
        <v>451</v>
      </c>
      <c r="K11" s="18">
        <f>AVERAGE(J8:J11)</f>
        <v>-9.25</v>
      </c>
      <c r="L11" s="18"/>
      <c r="M11" s="18">
        <f>-I11+M10</f>
        <v>76</v>
      </c>
      <c r="N11" s="18"/>
    </row>
    <row r="12" ht="20.05" customHeight="1">
      <c r="B12" s="32">
        <v>2017</v>
      </c>
      <c r="C12" s="17">
        <v>4546</v>
      </c>
      <c r="D12" s="18"/>
      <c r="E12" s="18">
        <v>116</v>
      </c>
      <c r="F12" s="18">
        <v>-250</v>
      </c>
      <c r="G12" s="18"/>
      <c r="H12" s="18"/>
      <c r="I12" s="18">
        <v>134</v>
      </c>
      <c r="J12" s="18">
        <f>E12+F12</f>
        <v>-134</v>
      </c>
      <c r="K12" s="18">
        <f>AVERAGE(J9:J12)</f>
        <v>149.25</v>
      </c>
      <c r="L12" s="18"/>
      <c r="M12" s="18">
        <f>-I12+M11</f>
        <v>-58</v>
      </c>
      <c r="N12" s="18"/>
    </row>
    <row r="13" ht="20.05" customHeight="1">
      <c r="B13" s="31"/>
      <c r="C13" s="17">
        <v>4695</v>
      </c>
      <c r="D13" s="18"/>
      <c r="E13" s="18">
        <v>104</v>
      </c>
      <c r="F13" s="18">
        <v>-211</v>
      </c>
      <c r="G13" s="18"/>
      <c r="H13" s="18"/>
      <c r="I13" s="18">
        <v>-367</v>
      </c>
      <c r="J13" s="18">
        <f>E13+F13</f>
        <v>-107</v>
      </c>
      <c r="K13" s="18">
        <f>AVERAGE(J10:J13)</f>
        <v>135</v>
      </c>
      <c r="L13" s="18"/>
      <c r="M13" s="18">
        <f>-I13+M12</f>
        <v>309</v>
      </c>
      <c r="N13" s="18"/>
    </row>
    <row r="14" ht="20.05" customHeight="1">
      <c r="B14" s="31"/>
      <c r="C14" s="17">
        <v>5394</v>
      </c>
      <c r="D14" s="18"/>
      <c r="E14" s="18">
        <v>549</v>
      </c>
      <c r="F14" s="18">
        <v>-203</v>
      </c>
      <c r="G14" s="18"/>
      <c r="H14" s="18"/>
      <c r="I14" s="18">
        <v>-22</v>
      </c>
      <c r="J14" s="18">
        <f>E14+F14</f>
        <v>346</v>
      </c>
      <c r="K14" s="18">
        <f>AVERAGE(J11:J14)</f>
        <v>139</v>
      </c>
      <c r="L14" s="18"/>
      <c r="M14" s="18">
        <f>-I14+M13</f>
        <v>331</v>
      </c>
      <c r="N14" s="18"/>
    </row>
    <row r="15" ht="20.05" customHeight="1">
      <c r="B15" s="31"/>
      <c r="C15" s="17">
        <v>4760</v>
      </c>
      <c r="D15" s="18"/>
      <c r="E15" s="18">
        <v>-87</v>
      </c>
      <c r="F15" s="18">
        <v>1497</v>
      </c>
      <c r="G15" s="18"/>
      <c r="H15" s="18"/>
      <c r="I15" s="18">
        <v>-856</v>
      </c>
      <c r="J15" s="18">
        <f>E15+F15</f>
        <v>1410</v>
      </c>
      <c r="K15" s="18">
        <f>AVERAGE(J12:J15)</f>
        <v>378.75</v>
      </c>
      <c r="L15" s="18"/>
      <c r="M15" s="18">
        <f>-I15+M14</f>
        <v>1187</v>
      </c>
      <c r="N15" s="18"/>
    </row>
    <row r="16" ht="20.05" customHeight="1">
      <c r="B16" s="32">
        <v>2018</v>
      </c>
      <c r="C16" s="17">
        <v>5906</v>
      </c>
      <c r="D16" s="18"/>
      <c r="E16" s="18">
        <v>-235</v>
      </c>
      <c r="F16" s="18">
        <v>-76</v>
      </c>
      <c r="G16" s="18"/>
      <c r="H16" s="18"/>
      <c r="I16" s="18">
        <v>379</v>
      </c>
      <c r="J16" s="18">
        <f>E16+F16</f>
        <v>-311</v>
      </c>
      <c r="K16" s="18">
        <f>AVERAGE(J13:J16)</f>
        <v>334.5</v>
      </c>
      <c r="L16" s="18"/>
      <c r="M16" s="18">
        <f>-I16+M15</f>
        <v>808</v>
      </c>
      <c r="N16" s="18"/>
    </row>
    <row r="17" ht="20.05" customHeight="1">
      <c r="B17" s="31"/>
      <c r="C17" s="17">
        <v>6051</v>
      </c>
      <c r="D17" s="18"/>
      <c r="E17" s="18">
        <v>-334</v>
      </c>
      <c r="F17" s="18">
        <v>644</v>
      </c>
      <c r="G17" s="18"/>
      <c r="H17" s="18"/>
      <c r="I17" s="18">
        <v>-108</v>
      </c>
      <c r="J17" s="18">
        <f>E17+F17</f>
        <v>310</v>
      </c>
      <c r="K17" s="18">
        <f>AVERAGE(J14:J17)</f>
        <v>438.75</v>
      </c>
      <c r="L17" s="18"/>
      <c r="M17" s="18">
        <f>-I17+M16</f>
        <v>916</v>
      </c>
      <c r="N17" s="18"/>
    </row>
    <row r="18" ht="20.05" customHeight="1">
      <c r="B18" s="31"/>
      <c r="C18" s="17">
        <v>3148</v>
      </c>
      <c r="D18" s="18"/>
      <c r="E18" s="18">
        <v>367</v>
      </c>
      <c r="F18" s="18">
        <v>391</v>
      </c>
      <c r="G18" s="18"/>
      <c r="H18" s="18"/>
      <c r="I18" s="18">
        <v>424</v>
      </c>
      <c r="J18" s="18">
        <f>E18+F18</f>
        <v>758</v>
      </c>
      <c r="K18" s="18">
        <f>AVERAGE(J15:J18)</f>
        <v>541.75</v>
      </c>
      <c r="L18" s="18"/>
      <c r="M18" s="18">
        <f>-I18+M17</f>
        <v>492</v>
      </c>
      <c r="N18" s="18"/>
    </row>
    <row r="19" ht="20.05" customHeight="1">
      <c r="B19" s="31"/>
      <c r="C19" s="17">
        <v>8412</v>
      </c>
      <c r="D19" s="18"/>
      <c r="E19" s="18">
        <v>-247</v>
      </c>
      <c r="F19" s="18">
        <v>-573</v>
      </c>
      <c r="G19" s="18"/>
      <c r="H19" s="18"/>
      <c r="I19" s="18">
        <v>-344</v>
      </c>
      <c r="J19" s="18">
        <f>E19+F19</f>
        <v>-820</v>
      </c>
      <c r="K19" s="18">
        <f>AVERAGE(J16:J19)</f>
        <v>-15.75</v>
      </c>
      <c r="L19" s="18"/>
      <c r="M19" s="18">
        <f>-I19+M18</f>
        <v>836</v>
      </c>
      <c r="N19" s="18"/>
    </row>
    <row r="20" ht="20.05" customHeight="1">
      <c r="B20" s="32">
        <v>2019</v>
      </c>
      <c r="C20" s="17">
        <v>5826</v>
      </c>
      <c r="D20" s="18"/>
      <c r="E20" s="18">
        <v>-410</v>
      </c>
      <c r="F20" s="18">
        <v>-289</v>
      </c>
      <c r="G20" s="18"/>
      <c r="H20" s="18"/>
      <c r="I20" s="18">
        <v>-414</v>
      </c>
      <c r="J20" s="18">
        <f>E20+F20</f>
        <v>-699</v>
      </c>
      <c r="K20" s="18">
        <f>AVERAGE(J17:J20)</f>
        <v>-112.75</v>
      </c>
      <c r="L20" s="18"/>
      <c r="M20" s="18">
        <f>-I20+M19</f>
        <v>1250</v>
      </c>
      <c r="N20" s="18"/>
    </row>
    <row r="21" ht="20.05" customHeight="1">
      <c r="B21" s="31"/>
      <c r="C21" s="17">
        <v>5386</v>
      </c>
      <c r="D21" s="18"/>
      <c r="E21" s="18">
        <v>-353</v>
      </c>
      <c r="F21" s="18">
        <v>-266</v>
      </c>
      <c r="G21" s="18"/>
      <c r="H21" s="18"/>
      <c r="I21" s="18">
        <v>622</v>
      </c>
      <c r="J21" s="18">
        <f>E21+F21</f>
        <v>-619</v>
      </c>
      <c r="K21" s="18">
        <f>AVERAGE(J18:J21)</f>
        <v>-345</v>
      </c>
      <c r="L21" s="18"/>
      <c r="M21" s="18">
        <f>-I21+M20</f>
        <v>628</v>
      </c>
      <c r="N21" s="18"/>
    </row>
    <row r="22" ht="20.05" customHeight="1">
      <c r="B22" s="31"/>
      <c r="C22" s="17">
        <v>5582</v>
      </c>
      <c r="D22" s="18"/>
      <c r="E22" s="18">
        <v>237</v>
      </c>
      <c r="F22" s="18">
        <v>-112</v>
      </c>
      <c r="G22" s="18"/>
      <c r="H22" s="18"/>
      <c r="I22" s="18">
        <v>-23</v>
      </c>
      <c r="J22" s="18">
        <f>E22+F22</f>
        <v>125</v>
      </c>
      <c r="K22" s="18">
        <f>AVERAGE(J19:J22)</f>
        <v>-503.25</v>
      </c>
      <c r="L22" s="18"/>
      <c r="M22" s="18">
        <f>-I22+M21</f>
        <v>651</v>
      </c>
      <c r="N22" s="18"/>
    </row>
    <row r="23" ht="20.05" customHeight="1">
      <c r="B23" s="31"/>
      <c r="C23" s="17">
        <v>6744</v>
      </c>
      <c r="D23" s="18"/>
      <c r="E23" s="18">
        <v>1213.9</v>
      </c>
      <c r="F23" s="18">
        <v>-112</v>
      </c>
      <c r="G23" s="18"/>
      <c r="H23" s="18"/>
      <c r="I23" s="18">
        <v>-313.8</v>
      </c>
      <c r="J23" s="18">
        <f>E23+F23</f>
        <v>1101.9</v>
      </c>
      <c r="K23" s="18">
        <f>AVERAGE(J20:J23)</f>
        <v>-22.775</v>
      </c>
      <c r="L23" s="18"/>
      <c r="M23" s="18">
        <f>-I23+M22</f>
        <v>964.8</v>
      </c>
      <c r="N23" s="18"/>
    </row>
    <row r="24" ht="20.05" customHeight="1">
      <c r="B24" s="32">
        <v>2020</v>
      </c>
      <c r="C24" s="17">
        <v>6675</v>
      </c>
      <c r="D24" s="18">
        <v>0</v>
      </c>
      <c r="E24" s="18">
        <v>-232</v>
      </c>
      <c r="F24" s="18">
        <v>-56</v>
      </c>
      <c r="G24" s="18">
        <f>I24-H24-D24</f>
        <v>85</v>
      </c>
      <c r="H24" s="18">
        <v>-104</v>
      </c>
      <c r="I24" s="18">
        <v>-19</v>
      </c>
      <c r="J24" s="18">
        <f>E24+F24</f>
        <v>-288</v>
      </c>
      <c r="K24" s="18">
        <f>AVERAGE(J21:J24)</f>
        <v>79.97499999999999</v>
      </c>
      <c r="L24" s="18"/>
      <c r="M24" s="18">
        <f>-I24+M23</f>
        <v>983.8</v>
      </c>
      <c r="N24" s="18"/>
    </row>
    <row r="25" ht="20.05" customHeight="1">
      <c r="B25" s="31"/>
      <c r="C25" s="17">
        <f>12231-C24</f>
        <v>5556</v>
      </c>
      <c r="D25" s="18">
        <v>0</v>
      </c>
      <c r="E25" s="18">
        <f>-468-E24</f>
        <v>-236</v>
      </c>
      <c r="F25" s="18">
        <f>-107-F24</f>
        <v>-51</v>
      </c>
      <c r="G25" s="18">
        <f>I25-H25-D25</f>
        <v>240.5</v>
      </c>
      <c r="H25" s="18">
        <f>-197.7+8.3-118.1-H24</f>
        <v>-203.5</v>
      </c>
      <c r="I25" s="18">
        <f>18-I24</f>
        <v>37</v>
      </c>
      <c r="J25" s="18">
        <f>E25+F25</f>
        <v>-287</v>
      </c>
      <c r="K25" s="18">
        <f>AVERAGE(J22:J25)</f>
        <v>162.975</v>
      </c>
      <c r="L25" s="18"/>
      <c r="M25" s="18">
        <f>-I25+M24</f>
        <v>946.8</v>
      </c>
      <c r="N25" s="18"/>
    </row>
    <row r="26" ht="20.05" customHeight="1">
      <c r="B26" s="31"/>
      <c r="C26" s="17">
        <f>17135-C25-C24</f>
        <v>4904</v>
      </c>
      <c r="D26" s="18"/>
      <c r="E26" s="18">
        <f>904-E25-E24</f>
        <v>1372</v>
      </c>
      <c r="F26" s="18">
        <f>-164-F25-F24</f>
        <v>-57</v>
      </c>
      <c r="G26" s="18">
        <f>I26-H26-D26</f>
        <v>-1081.5</v>
      </c>
      <c r="H26" s="18">
        <f>-118.1+12.1-395-SUM(H24:H25)</f>
        <v>-193.5</v>
      </c>
      <c r="I26" s="18">
        <f>-1257-I25-I24</f>
        <v>-1275</v>
      </c>
      <c r="J26" s="18">
        <f>E26+F26</f>
        <v>1315</v>
      </c>
      <c r="K26" s="18">
        <f>AVERAGE(J23:J26)</f>
        <v>460.475</v>
      </c>
      <c r="L26" s="18"/>
      <c r="M26" s="18">
        <f>-I26+M25</f>
        <v>2221.8</v>
      </c>
      <c r="N26" s="18"/>
    </row>
    <row r="27" ht="20.05" customHeight="1">
      <c r="B27" s="31"/>
      <c r="C27" s="17">
        <f>21380.9-SUM(C24:C26)</f>
        <v>4245.9</v>
      </c>
      <c r="D27" s="18">
        <f>-37.1-SUM(D24:D26)</f>
        <v>-37.1</v>
      </c>
      <c r="E27" s="18">
        <f>1067-SUM(E24:E26)</f>
        <v>163</v>
      </c>
      <c r="F27" s="18">
        <f>-139.3-SUM(F24:F26)</f>
        <v>24.7</v>
      </c>
      <c r="G27" s="18">
        <f>I27-H27-D27</f>
        <v>36.4</v>
      </c>
      <c r="H27" s="18">
        <f>30.7-395-118.1-SUM(H24:H26)</f>
        <v>18.6</v>
      </c>
      <c r="I27" s="18">
        <f>-1239.1-SUM(I24:I26)</f>
        <v>17.9</v>
      </c>
      <c r="J27" s="18">
        <f>E27+F27</f>
        <v>187.7</v>
      </c>
      <c r="K27" s="18">
        <f>AVERAGE(J24:J27)</f>
        <v>231.925</v>
      </c>
      <c r="L27" s="18"/>
      <c r="M27" s="18">
        <f>-I27+M26</f>
        <v>2203.9</v>
      </c>
      <c r="N27" s="18"/>
    </row>
    <row r="28" ht="20.05" customHeight="1">
      <c r="B28" s="32">
        <v>2021</v>
      </c>
      <c r="C28" s="17">
        <f>5250.8</f>
        <v>5250.8</v>
      </c>
      <c r="D28" s="18">
        <v>-23.45</v>
      </c>
      <c r="E28" s="18">
        <v>1239.7</v>
      </c>
      <c r="F28" s="18">
        <v>-59.9</v>
      </c>
      <c r="G28" s="18">
        <f>I28-H28-D28</f>
        <v>-214.45</v>
      </c>
      <c r="H28" s="18">
        <v>7.3</v>
      </c>
      <c r="I28" s="18">
        <f>-230.6</f>
        <v>-230.6</v>
      </c>
      <c r="J28" s="18">
        <f>E28+F28</f>
        <v>1179.8</v>
      </c>
      <c r="K28" s="18">
        <f>AVERAGE(J25:J28)</f>
        <v>598.875</v>
      </c>
      <c r="L28" s="18"/>
      <c r="M28" s="18">
        <f>-I28+M27</f>
        <v>2434.5</v>
      </c>
      <c r="N28" s="18"/>
    </row>
    <row r="29" ht="20.05" customHeight="1">
      <c r="B29" s="31"/>
      <c r="C29" s="17">
        <f>10342.2-C28</f>
        <v>5091.4</v>
      </c>
      <c r="D29" s="18">
        <v>-23.45</v>
      </c>
      <c r="E29" s="18">
        <f>1560.5-E28</f>
        <v>320.8</v>
      </c>
      <c r="F29" s="18">
        <f>-89.3-F28</f>
        <v>-29.4</v>
      </c>
      <c r="G29" s="18">
        <f>I29-H29-D29</f>
        <v>-419.85</v>
      </c>
      <c r="H29" s="18">
        <f>-296.1+40.4-H28</f>
        <v>-263</v>
      </c>
      <c r="I29" s="18">
        <f>-936.9-I28</f>
        <v>-706.3</v>
      </c>
      <c r="J29" s="18">
        <f>E29+F29</f>
        <v>291.4</v>
      </c>
      <c r="K29" s="18">
        <f>AVERAGE(J26:J29)</f>
        <v>743.475</v>
      </c>
      <c r="L29" s="18"/>
      <c r="M29" s="18">
        <f>-I29+M28</f>
        <v>3140.8</v>
      </c>
      <c r="N29" s="18"/>
    </row>
    <row r="30" ht="20.05" customHeight="1">
      <c r="B30" s="31"/>
      <c r="C30" s="17">
        <f>16596.1-SUM(C28:C29)</f>
        <v>6253.9</v>
      </c>
      <c r="D30" s="18">
        <v>-23.45</v>
      </c>
      <c r="E30" s="18">
        <f>1261.1-SUM(E28:E29)</f>
        <v>-299.4</v>
      </c>
      <c r="F30" s="18">
        <f>-149.7-SUM(F28:F29)</f>
        <v>-60.4</v>
      </c>
      <c r="G30" s="18">
        <f>I30-H30-D30</f>
        <v>58.15</v>
      </c>
      <c r="H30" s="18">
        <f>-532.9+88-SUM(H28:H29)</f>
        <v>-189.2</v>
      </c>
      <c r="I30" s="18">
        <f>-1091.4-SUM(I28:I29)</f>
        <v>-154.5</v>
      </c>
      <c r="J30" s="18">
        <f>E30+F30</f>
        <v>-359.8</v>
      </c>
      <c r="K30" s="18">
        <f>AVERAGE(J27:J30)</f>
        <v>324.775</v>
      </c>
      <c r="L30" s="18"/>
      <c r="M30" s="18">
        <f>-I30+M29</f>
        <v>3295.3</v>
      </c>
      <c r="N30" s="18"/>
    </row>
    <row r="31" ht="20.05" customHeight="1">
      <c r="B31" s="31"/>
      <c r="C31" s="17">
        <f>25711.3-SUM(C28:C30)</f>
        <v>9115.200000000001</v>
      </c>
      <c r="D31" s="18">
        <v>-23.45</v>
      </c>
      <c r="E31" s="18">
        <f>2944.6-SUM(E28:E30)</f>
        <v>1683.5</v>
      </c>
      <c r="F31" s="18">
        <f>-208.4-SUM(F28:F30)</f>
        <v>-58.7</v>
      </c>
      <c r="G31" s="18">
        <f>I31-H31-D31</f>
        <v>-607.25</v>
      </c>
      <c r="H31" s="18">
        <f>-523.9+117.8-SUM(H28:H30)</f>
        <v>38.8</v>
      </c>
      <c r="I31" s="18">
        <f>-1683.3-SUM(I28:I30)</f>
        <v>-591.9</v>
      </c>
      <c r="J31" s="18">
        <f>E31+F31</f>
        <v>1624.8</v>
      </c>
      <c r="K31" s="18">
        <f>AVERAGE(J28:J31)</f>
        <v>684.05</v>
      </c>
      <c r="L31" s="18">
        <f>K31</f>
        <v>684.05</v>
      </c>
      <c r="M31" s="18">
        <f>-I31+M30</f>
        <v>3887.2</v>
      </c>
      <c r="N31" s="18">
        <f>M31</f>
        <v>3887.2</v>
      </c>
    </row>
    <row r="32" ht="20.05" customHeight="1">
      <c r="B32" s="32">
        <v>2022</v>
      </c>
      <c r="C32" s="17"/>
      <c r="D32" s="18"/>
      <c r="E32" s="18"/>
      <c r="F32" s="18"/>
      <c r="G32" s="18"/>
      <c r="H32" s="18"/>
      <c r="I32" s="18"/>
      <c r="J32" s="18"/>
      <c r="K32" s="24"/>
      <c r="L32" s="18">
        <f>SUM('Model'!C9:F10)/4</f>
        <v>572.527260287703</v>
      </c>
      <c r="M32" s="24"/>
      <c r="N32" s="18">
        <f>'Model'!F32</f>
        <v>6177.309041150810</v>
      </c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8" customWidth="1"/>
    <col min="2" max="2" width="8.85156" style="38" customWidth="1"/>
    <col min="3" max="11" width="9.98438" style="38" customWidth="1"/>
    <col min="12" max="16384" width="16.3516" style="38" customWidth="1"/>
  </cols>
  <sheetData>
    <row r="1" ht="35.7" customHeight="1"/>
    <row r="2" ht="27.65" customHeight="1">
      <c r="B2" t="s" s="2">
        <v>52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53</v>
      </c>
      <c r="D3" t="s" s="5">
        <v>52</v>
      </c>
      <c r="E3" t="s" s="5">
        <v>54</v>
      </c>
      <c r="F3" t="s" s="5">
        <v>23</v>
      </c>
      <c r="G3" t="s" s="5">
        <v>11</v>
      </c>
      <c r="H3" t="s" s="5">
        <v>55</v>
      </c>
      <c r="I3" t="s" s="5">
        <v>56</v>
      </c>
      <c r="J3" t="s" s="5">
        <v>26</v>
      </c>
      <c r="K3" t="s" s="5">
        <v>34</v>
      </c>
    </row>
    <row r="4" ht="20.25" customHeight="1">
      <c r="B4" s="27">
        <v>2015</v>
      </c>
      <c r="C4" s="35">
        <v>1145</v>
      </c>
      <c r="D4" s="36">
        <v>14604</v>
      </c>
      <c r="E4" s="36">
        <f>D4-C4</f>
        <v>13459</v>
      </c>
      <c r="F4" s="37"/>
      <c r="G4" s="36">
        <v>7893</v>
      </c>
      <c r="H4" s="36">
        <v>6711</v>
      </c>
      <c r="I4" s="36">
        <f>G4+H4-C4-E4</f>
        <v>0</v>
      </c>
      <c r="J4" s="36">
        <f>C4-G4</f>
        <v>-6748</v>
      </c>
      <c r="K4" s="37"/>
    </row>
    <row r="5" ht="20.05" customHeight="1">
      <c r="B5" s="31"/>
      <c r="C5" s="17">
        <v>1223</v>
      </c>
      <c r="D5" s="18">
        <v>15513</v>
      </c>
      <c r="E5" s="18">
        <f>D5-C5</f>
        <v>14290</v>
      </c>
      <c r="F5" s="23"/>
      <c r="G5" s="18">
        <v>8448</v>
      </c>
      <c r="H5" s="18">
        <v>7064</v>
      </c>
      <c r="I5" s="18">
        <f>G5+H5-C5-E5</f>
        <v>-1</v>
      </c>
      <c r="J5" s="18">
        <f>C5-G5</f>
        <v>-7225</v>
      </c>
      <c r="K5" s="23"/>
    </row>
    <row r="6" ht="20.05" customHeight="1">
      <c r="B6" s="31"/>
      <c r="C6" s="17">
        <v>1446</v>
      </c>
      <c r="D6" s="18">
        <v>15917</v>
      </c>
      <c r="E6" s="18">
        <f>D6-C6</f>
        <v>14471</v>
      </c>
      <c r="F6" s="23"/>
      <c r="G6" s="18">
        <v>8883</v>
      </c>
      <c r="H6" s="18">
        <v>7034</v>
      </c>
      <c r="I6" s="18">
        <f>G6+H6-C6-E6</f>
        <v>0</v>
      </c>
      <c r="J6" s="18">
        <f>C6-G6</f>
        <v>-7437</v>
      </c>
      <c r="K6" s="23"/>
    </row>
    <row r="7" ht="20.05" customHeight="1">
      <c r="B7" s="31"/>
      <c r="C7" s="17">
        <v>1290</v>
      </c>
      <c r="D7" s="18">
        <v>15204</v>
      </c>
      <c r="E7" s="18">
        <f>D7-C7</f>
        <v>13914</v>
      </c>
      <c r="F7" s="23"/>
      <c r="G7" s="18">
        <v>7917</v>
      </c>
      <c r="H7" s="18">
        <v>7286</v>
      </c>
      <c r="I7" s="18">
        <f>G7+H7-C7-E7</f>
        <v>-1</v>
      </c>
      <c r="J7" s="18">
        <f>C7-G7</f>
        <v>-6627</v>
      </c>
      <c r="K7" s="23"/>
    </row>
    <row r="8" ht="20.05" customHeight="1">
      <c r="B8" s="32">
        <v>2016</v>
      </c>
      <c r="C8" s="17">
        <v>751</v>
      </c>
      <c r="D8" s="18">
        <v>14556</v>
      </c>
      <c r="E8" s="18">
        <f>D8-C8</f>
        <v>13805</v>
      </c>
      <c r="F8" s="23"/>
      <c r="G8" s="18">
        <v>7060</v>
      </c>
      <c r="H8" s="18">
        <v>7497</v>
      </c>
      <c r="I8" s="18">
        <f>G8+H8-C8-E8</f>
        <v>1</v>
      </c>
      <c r="J8" s="18">
        <f>C8-G8</f>
        <v>-6309</v>
      </c>
      <c r="K8" s="23"/>
    </row>
    <row r="9" ht="20.05" customHeight="1">
      <c r="B9" s="31"/>
      <c r="C9" s="17">
        <v>844</v>
      </c>
      <c r="D9" s="18">
        <v>15383</v>
      </c>
      <c r="E9" s="18">
        <f>D9-C9</f>
        <v>14539</v>
      </c>
      <c r="F9" s="23"/>
      <c r="G9" s="18">
        <v>7439</v>
      </c>
      <c r="H9" s="18">
        <v>7944</v>
      </c>
      <c r="I9" s="18">
        <f>G9+H9-C9-E9</f>
        <v>0</v>
      </c>
      <c r="J9" s="18">
        <f>C9-G9</f>
        <v>-6595</v>
      </c>
      <c r="K9" s="23"/>
    </row>
    <row r="10" ht="20.05" customHeight="1">
      <c r="B10" s="31"/>
      <c r="C10" s="17">
        <v>903</v>
      </c>
      <c r="D10" s="18">
        <v>15650</v>
      </c>
      <c r="E10" s="18">
        <f>D10-C10</f>
        <v>14747</v>
      </c>
      <c r="F10" s="23"/>
      <c r="G10" s="18">
        <v>7817</v>
      </c>
      <c r="H10" s="18">
        <v>7833</v>
      </c>
      <c r="I10" s="18">
        <f>G10+H10-C10-E10</f>
        <v>0</v>
      </c>
      <c r="J10" s="18">
        <f>C10-G10</f>
        <v>-6914</v>
      </c>
      <c r="K10" s="23"/>
    </row>
    <row r="11" ht="20.05" customHeight="1">
      <c r="B11" s="31"/>
      <c r="C11" s="17">
        <v>1367</v>
      </c>
      <c r="D11" s="18">
        <v>15830</v>
      </c>
      <c r="E11" s="18">
        <f>D11-C11</f>
        <v>14463</v>
      </c>
      <c r="F11" s="23"/>
      <c r="G11" s="18">
        <v>7757</v>
      </c>
      <c r="H11" s="18">
        <v>8074</v>
      </c>
      <c r="I11" s="18">
        <f>G11+H11-C11-E11</f>
        <v>1</v>
      </c>
      <c r="J11" s="18">
        <f>C11-G11</f>
        <v>-6390</v>
      </c>
      <c r="K11" s="23"/>
    </row>
    <row r="12" ht="20.05" customHeight="1">
      <c r="B12" s="32">
        <v>2017</v>
      </c>
      <c r="C12" s="17">
        <v>1346</v>
      </c>
      <c r="D12" s="18">
        <v>16604</v>
      </c>
      <c r="E12" s="18">
        <f>D12-C12</f>
        <v>15258</v>
      </c>
      <c r="F12" s="23"/>
      <c r="G12" s="18">
        <v>8252</v>
      </c>
      <c r="H12" s="18">
        <v>8353</v>
      </c>
      <c r="I12" s="18">
        <f>G12+H12-C12-E12</f>
        <v>1</v>
      </c>
      <c r="J12" s="18">
        <f>C12-G12</f>
        <v>-6906</v>
      </c>
      <c r="K12" s="23"/>
    </row>
    <row r="13" ht="20.05" customHeight="1">
      <c r="B13" s="31"/>
      <c r="C13" s="17">
        <v>893</v>
      </c>
      <c r="D13" s="18">
        <v>16520</v>
      </c>
      <c r="E13" s="18">
        <f>D13-C13</f>
        <v>15627</v>
      </c>
      <c r="F13" s="23"/>
      <c r="G13" s="18">
        <v>7911</v>
      </c>
      <c r="H13" s="18">
        <v>8608</v>
      </c>
      <c r="I13" s="18">
        <f>G13+H13-C13-E13</f>
        <v>-1</v>
      </c>
      <c r="J13" s="18">
        <f>C13-G13</f>
        <v>-7018</v>
      </c>
      <c r="K13" s="23"/>
    </row>
    <row r="14" ht="20.05" customHeight="1">
      <c r="B14" s="31"/>
      <c r="C14" s="17">
        <v>1221</v>
      </c>
      <c r="D14" s="18">
        <v>16904</v>
      </c>
      <c r="E14" s="18">
        <f>D14-C14</f>
        <v>15683</v>
      </c>
      <c r="F14" s="23"/>
      <c r="G14" s="18">
        <v>8255</v>
      </c>
      <c r="H14" s="18">
        <v>8649</v>
      </c>
      <c r="I14" s="18">
        <f>G14+H14-C14-E14</f>
        <v>0</v>
      </c>
      <c r="J14" s="18">
        <f>C14-G14</f>
        <v>-7034</v>
      </c>
      <c r="K14" s="23"/>
    </row>
    <row r="15" ht="20.05" customHeight="1">
      <c r="B15" s="31"/>
      <c r="C15" s="17">
        <v>1771</v>
      </c>
      <c r="D15" s="18">
        <v>16823</v>
      </c>
      <c r="E15" s="18">
        <f>D15-C15</f>
        <v>15052</v>
      </c>
      <c r="F15" s="23"/>
      <c r="G15" s="18">
        <v>7793</v>
      </c>
      <c r="H15" s="18">
        <v>9030</v>
      </c>
      <c r="I15" s="18">
        <f>G15+H15-C15-E15</f>
        <v>0</v>
      </c>
      <c r="J15" s="18">
        <f>C15-G15</f>
        <v>-6022</v>
      </c>
      <c r="K15" s="23"/>
    </row>
    <row r="16" ht="20.05" customHeight="1">
      <c r="B16" s="32">
        <v>2018</v>
      </c>
      <c r="C16" s="17">
        <v>1842</v>
      </c>
      <c r="D16" s="18">
        <v>18922</v>
      </c>
      <c r="E16" s="18">
        <f>D16-C16</f>
        <v>17080</v>
      </c>
      <c r="F16" s="23"/>
      <c r="G16" s="18">
        <v>8959</v>
      </c>
      <c r="H16" s="18">
        <v>9963</v>
      </c>
      <c r="I16" s="18">
        <f>G16+H16-C16-E16</f>
        <v>0</v>
      </c>
      <c r="J16" s="18">
        <f>C16-G16</f>
        <v>-7117</v>
      </c>
      <c r="K16" s="23"/>
    </row>
    <row r="17" ht="20.05" customHeight="1">
      <c r="B17" s="31"/>
      <c r="C17" s="17">
        <v>1989</v>
      </c>
      <c r="D17" s="18">
        <v>19255</v>
      </c>
      <c r="E17" s="18">
        <f>D17-C17</f>
        <v>17266</v>
      </c>
      <c r="F17" s="23"/>
      <c r="G17" s="18">
        <v>9403</v>
      </c>
      <c r="H17" s="18">
        <v>9852</v>
      </c>
      <c r="I17" s="18">
        <f>G17+H17-C17-E17</f>
        <v>0</v>
      </c>
      <c r="J17" s="18">
        <f>C17-G17</f>
        <v>-7414</v>
      </c>
      <c r="K17" s="23"/>
    </row>
    <row r="18" ht="20.05" customHeight="1">
      <c r="B18" s="31"/>
      <c r="C18" s="17">
        <v>3075</v>
      </c>
      <c r="D18" s="18">
        <v>20580</v>
      </c>
      <c r="E18" s="18">
        <f>D18-C18</f>
        <v>17505</v>
      </c>
      <c r="F18" s="23"/>
      <c r="G18" s="18">
        <v>11005</v>
      </c>
      <c r="H18" s="18">
        <v>9575</v>
      </c>
      <c r="I18" s="18">
        <f>G18+H18-C18-E18</f>
        <v>0</v>
      </c>
      <c r="J18" s="18">
        <f>C18-G18</f>
        <v>-7930</v>
      </c>
      <c r="K18" s="23"/>
    </row>
    <row r="19" ht="20.05" customHeight="1">
      <c r="B19" s="31"/>
      <c r="C19" s="17">
        <v>2171</v>
      </c>
      <c r="D19" s="18">
        <v>19941</v>
      </c>
      <c r="E19" s="18">
        <f>D19-C19</f>
        <v>17770</v>
      </c>
      <c r="F19" s="23"/>
      <c r="G19" s="18">
        <v>10014</v>
      </c>
      <c r="H19" s="18">
        <v>9927</v>
      </c>
      <c r="I19" s="18">
        <f>G19+H19-C19-E19</f>
        <v>0</v>
      </c>
      <c r="J19" s="18">
        <f>C19-G19</f>
        <v>-7843</v>
      </c>
      <c r="K19" s="23"/>
    </row>
    <row r="20" ht="20.05" customHeight="1">
      <c r="B20" s="32">
        <v>2019</v>
      </c>
      <c r="C20" s="17">
        <v>1047</v>
      </c>
      <c r="D20" s="18">
        <v>18909</v>
      </c>
      <c r="E20" s="18">
        <f>D20-C20</f>
        <v>17862</v>
      </c>
      <c r="F20" s="23"/>
      <c r="G20" s="18">
        <v>8747</v>
      </c>
      <c r="H20" s="18">
        <v>10162</v>
      </c>
      <c r="I20" s="18">
        <f>G20+H20-C20-E20</f>
        <v>0</v>
      </c>
      <c r="J20" s="18">
        <f>C20-G20</f>
        <v>-7700</v>
      </c>
      <c r="K20" s="23"/>
    </row>
    <row r="21" ht="20.05" customHeight="1">
      <c r="B21" s="31"/>
      <c r="C21" s="17">
        <v>1041</v>
      </c>
      <c r="D21" s="18">
        <v>19043</v>
      </c>
      <c r="E21" s="18">
        <f>D21-C21</f>
        <v>18002</v>
      </c>
      <c r="F21" s="23"/>
      <c r="G21" s="18">
        <v>9163</v>
      </c>
      <c r="H21" s="18">
        <v>9880</v>
      </c>
      <c r="I21" s="18">
        <f>G21+H21-C21-E21</f>
        <v>0</v>
      </c>
      <c r="J21" s="18">
        <f>C21-G21</f>
        <v>-8122</v>
      </c>
      <c r="K21" s="23"/>
    </row>
    <row r="22" ht="20.05" customHeight="1">
      <c r="B22" s="31"/>
      <c r="C22" s="17">
        <v>1123</v>
      </c>
      <c r="D22" s="18">
        <v>19314</v>
      </c>
      <c r="E22" s="18">
        <f>D22-C22</f>
        <v>18191</v>
      </c>
      <c r="F22" s="23"/>
      <c r="G22" s="18">
        <v>9444</v>
      </c>
      <c r="H22" s="18">
        <v>9870</v>
      </c>
      <c r="I22" s="18">
        <f>G22+H22-C22-E22</f>
        <v>0</v>
      </c>
      <c r="J22" s="18">
        <f>C22-G22</f>
        <v>-8321</v>
      </c>
      <c r="K22" s="23"/>
    </row>
    <row r="23" ht="20.05" customHeight="1">
      <c r="B23" s="31"/>
      <c r="C23" s="17">
        <v>1860.7</v>
      </c>
      <c r="D23" s="18">
        <v>21409</v>
      </c>
      <c r="E23" s="18">
        <f>D23-C23</f>
        <v>19548.3</v>
      </c>
      <c r="F23" s="23"/>
      <c r="G23" s="18">
        <v>11342.1</v>
      </c>
      <c r="H23" s="18">
        <v>10066.8</v>
      </c>
      <c r="I23" s="18">
        <f>G23+H23-C23-E23</f>
        <v>-0.1</v>
      </c>
      <c r="J23" s="18">
        <f>C23-G23</f>
        <v>-9481.4</v>
      </c>
      <c r="K23" s="23"/>
    </row>
    <row r="24" ht="20.05" customHeight="1">
      <c r="B24" s="32">
        <v>2020</v>
      </c>
      <c r="C24" s="17">
        <v>1650</v>
      </c>
      <c r="D24" s="18">
        <v>21586</v>
      </c>
      <c r="E24" s="18">
        <f>D24-C24</f>
        <v>19936</v>
      </c>
      <c r="F24" s="18">
        <f>5+3170</f>
        <v>3175</v>
      </c>
      <c r="G24" s="18">
        <v>11230</v>
      </c>
      <c r="H24" s="18">
        <v>10356</v>
      </c>
      <c r="I24" s="18">
        <f>G24+H24-C24-E24</f>
        <v>0</v>
      </c>
      <c r="J24" s="18">
        <f>C24-G24</f>
        <v>-9580</v>
      </c>
      <c r="K24" s="23"/>
    </row>
    <row r="25" ht="20.05" customHeight="1">
      <c r="B25" s="31"/>
      <c r="C25" s="17">
        <v>1311</v>
      </c>
      <c r="D25" s="18">
        <v>18554</v>
      </c>
      <c r="E25" s="18">
        <f>D25-C25</f>
        <v>17243</v>
      </c>
      <c r="F25" s="18">
        <f>3172+23</f>
        <v>3195</v>
      </c>
      <c r="G25" s="18">
        <v>8319</v>
      </c>
      <c r="H25" s="18">
        <v>10235</v>
      </c>
      <c r="I25" s="18">
        <f>G25+H25-C25-E25</f>
        <v>0</v>
      </c>
      <c r="J25" s="18">
        <f>C25-G25</f>
        <v>-7008</v>
      </c>
      <c r="K25" s="23"/>
    </row>
    <row r="26" ht="20.05" customHeight="1">
      <c r="B26" s="31"/>
      <c r="C26" s="17">
        <v>1371</v>
      </c>
      <c r="D26" s="18">
        <v>18358</v>
      </c>
      <c r="E26" s="18">
        <f>D26-C26</f>
        <v>16987</v>
      </c>
      <c r="F26" s="18">
        <f>3272+34</f>
        <v>3306</v>
      </c>
      <c r="G26" s="18">
        <v>8050</v>
      </c>
      <c r="H26" s="18">
        <v>10307</v>
      </c>
      <c r="I26" s="18">
        <f>G26+H26-C26-E26</f>
        <v>-1</v>
      </c>
      <c r="J26" s="18">
        <f>C26-G26</f>
        <v>-6679</v>
      </c>
      <c r="K26" s="18"/>
    </row>
    <row r="27" ht="20.05" customHeight="1">
      <c r="B27" s="31"/>
      <c r="C27" s="17">
        <v>1549</v>
      </c>
      <c r="D27" s="18">
        <v>18684</v>
      </c>
      <c r="E27" s="18">
        <f>D27-C27</f>
        <v>17135</v>
      </c>
      <c r="F27" s="18">
        <f>3281+44</f>
        <v>3325</v>
      </c>
      <c r="G27" s="18">
        <v>8127</v>
      </c>
      <c r="H27" s="18">
        <v>10557</v>
      </c>
      <c r="I27" s="18">
        <f>G27+H27-C27-E27</f>
        <v>0</v>
      </c>
      <c r="J27" s="18">
        <f>C27-G27</f>
        <v>-6578</v>
      </c>
      <c r="K27" s="18"/>
    </row>
    <row r="28" ht="20.05" customHeight="1">
      <c r="B28" s="32">
        <v>2021</v>
      </c>
      <c r="C28" s="17">
        <v>2523</v>
      </c>
      <c r="D28" s="18">
        <v>19885</v>
      </c>
      <c r="E28" s="18">
        <f>D28-C28</f>
        <v>17362</v>
      </c>
      <c r="F28" s="18">
        <f>54+3383</f>
        <v>3437</v>
      </c>
      <c r="G28" s="18">
        <v>8913</v>
      </c>
      <c r="H28" s="18">
        <v>10972</v>
      </c>
      <c r="I28" s="18">
        <f>G28+H28-C28-E28</f>
        <v>0</v>
      </c>
      <c r="J28" s="18">
        <f>C28-G28</f>
        <v>-6390</v>
      </c>
      <c r="K28" s="18"/>
    </row>
    <row r="29" ht="20.05" customHeight="1">
      <c r="B29" s="31"/>
      <c r="C29" s="17">
        <v>2098</v>
      </c>
      <c r="D29" s="18">
        <v>20289</v>
      </c>
      <c r="E29" s="18">
        <f>D29-C29</f>
        <v>18191</v>
      </c>
      <c r="F29" s="18">
        <f>3461+62</f>
        <v>3523</v>
      </c>
      <c r="G29" s="18">
        <v>9348</v>
      </c>
      <c r="H29" s="18">
        <v>10941</v>
      </c>
      <c r="I29" s="18">
        <f>G29+H29-C29-E29</f>
        <v>0</v>
      </c>
      <c r="J29" s="18">
        <f>C29-G29</f>
        <v>-7250</v>
      </c>
      <c r="K29" s="18"/>
    </row>
    <row r="30" ht="20.05" customHeight="1">
      <c r="B30" s="31"/>
      <c r="C30" s="17">
        <v>1579</v>
      </c>
      <c r="D30" s="18">
        <v>21311</v>
      </c>
      <c r="E30" s="18">
        <f>D30-C30</f>
        <v>19732</v>
      </c>
      <c r="F30" s="18">
        <f>3526+72</f>
        <v>3598</v>
      </c>
      <c r="G30" s="18">
        <v>10343</v>
      </c>
      <c r="H30" s="18">
        <v>10968</v>
      </c>
      <c r="I30" s="18">
        <f>G30+H30-C30-E30</f>
        <v>0</v>
      </c>
      <c r="J30" s="18">
        <f>C30-G30</f>
        <v>-8764</v>
      </c>
      <c r="K30" s="18"/>
    </row>
    <row r="31" ht="20.05" customHeight="1">
      <c r="B31" s="31"/>
      <c r="C31" s="17">
        <v>2600</v>
      </c>
      <c r="D31" s="18">
        <v>23509</v>
      </c>
      <c r="E31" s="18">
        <f>D31-C31</f>
        <v>20909</v>
      </c>
      <c r="F31" s="18">
        <f>92+3584</f>
        <v>3676</v>
      </c>
      <c r="G31" s="18">
        <v>12210</v>
      </c>
      <c r="H31" s="18">
        <v>11299</v>
      </c>
      <c r="I31" s="18">
        <f>G31+H31-C31-E31</f>
        <v>0</v>
      </c>
      <c r="J31" s="18">
        <f>C31-G31</f>
        <v>-9610</v>
      </c>
      <c r="K31" s="18">
        <f>J31</f>
        <v>-9610</v>
      </c>
    </row>
    <row r="32" ht="20.05" customHeight="1">
      <c r="B32" s="32">
        <v>2022</v>
      </c>
      <c r="C32" s="17"/>
      <c r="D32" s="18"/>
      <c r="E32" s="18"/>
      <c r="F32" s="18"/>
      <c r="G32" s="18"/>
      <c r="H32" s="18"/>
      <c r="I32" s="18"/>
      <c r="J32" s="18"/>
      <c r="K32" s="18">
        <f>'Model'!F30</f>
        <v>-7945.723671194430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1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9" customWidth="1"/>
    <col min="2" max="5" width="11.0547" style="39" customWidth="1"/>
    <col min="6" max="16384" width="16.3516" style="39" customWidth="1"/>
  </cols>
  <sheetData>
    <row r="1" ht="40" customHeight="1"/>
    <row r="2" ht="27.65" customHeight="1">
      <c r="B2" t="s" s="2">
        <v>57</v>
      </c>
      <c r="C2" s="2"/>
      <c r="D2" s="2"/>
      <c r="E2" s="2"/>
    </row>
    <row r="3" ht="20.25" customHeight="1">
      <c r="B3" t="s" s="40">
        <v>58</v>
      </c>
      <c r="C3" t="s" s="41">
        <v>57</v>
      </c>
      <c r="D3" t="s" s="41">
        <v>59</v>
      </c>
      <c r="E3" t="s" s="41">
        <v>60</v>
      </c>
    </row>
    <row r="4" ht="20.25" customHeight="1">
      <c r="B4" s="42">
        <v>2018</v>
      </c>
      <c r="C4" s="36">
        <v>1135</v>
      </c>
      <c r="D4" s="36"/>
      <c r="E4" s="36"/>
    </row>
    <row r="5" ht="20.05" customHeight="1">
      <c r="B5" s="43"/>
      <c r="C5" s="18">
        <v>860</v>
      </c>
      <c r="D5" s="18"/>
      <c r="E5" s="18"/>
    </row>
    <row r="6" ht="20.05" customHeight="1">
      <c r="B6" s="43"/>
      <c r="C6" s="18">
        <v>734</v>
      </c>
      <c r="D6" s="18"/>
      <c r="E6" s="18"/>
    </row>
    <row r="7" ht="20.05" customHeight="1">
      <c r="B7" s="43"/>
      <c r="C7" s="18">
        <v>858</v>
      </c>
      <c r="D7" s="18"/>
      <c r="E7" s="18"/>
    </row>
    <row r="8" ht="20.05" customHeight="1">
      <c r="B8" s="44">
        <v>2019</v>
      </c>
      <c r="C8" s="18">
        <v>944</v>
      </c>
      <c r="D8" s="18"/>
      <c r="E8" s="18"/>
    </row>
    <row r="9" ht="20.05" customHeight="1">
      <c r="B9" s="43"/>
      <c r="C9" s="18">
        <v>818</v>
      </c>
      <c r="D9" s="18"/>
      <c r="E9" s="18"/>
    </row>
    <row r="10" ht="20.05" customHeight="1">
      <c r="B10" s="43"/>
      <c r="C10" s="18">
        <v>760</v>
      </c>
      <c r="D10" s="18"/>
      <c r="E10" s="18"/>
    </row>
    <row r="11" ht="20.05" customHeight="1">
      <c r="B11" s="43"/>
      <c r="C11" s="18">
        <v>790</v>
      </c>
      <c r="D11" s="18"/>
      <c r="E11" s="18"/>
    </row>
    <row r="12" ht="20.05" customHeight="1">
      <c r="B12" s="44">
        <v>2020</v>
      </c>
      <c r="C12" s="45">
        <v>395</v>
      </c>
      <c r="D12" s="18"/>
      <c r="E12" s="18"/>
    </row>
    <row r="13" ht="20.05" customHeight="1">
      <c r="B13" s="43"/>
      <c r="C13" s="45">
        <v>508</v>
      </c>
      <c r="D13" s="18"/>
      <c r="E13" s="18"/>
    </row>
    <row r="14" ht="20.05" customHeight="1">
      <c r="B14" s="43"/>
      <c r="C14" s="45">
        <v>510</v>
      </c>
      <c r="D14" s="18"/>
      <c r="E14" s="18"/>
    </row>
    <row r="15" ht="20.05" customHeight="1">
      <c r="B15" s="43"/>
      <c r="C15" s="45">
        <v>636</v>
      </c>
      <c r="D15" s="18"/>
      <c r="E15" s="18"/>
    </row>
    <row r="16" ht="20.05" customHeight="1">
      <c r="B16" s="32">
        <v>2021</v>
      </c>
      <c r="C16" s="17">
        <v>629.3191406</v>
      </c>
      <c r="D16" s="18"/>
      <c r="E16" s="18"/>
    </row>
    <row r="17" ht="20.05" customHeight="1">
      <c r="B17" s="31"/>
      <c r="C17" s="17">
        <v>630</v>
      </c>
      <c r="D17" s="18"/>
      <c r="E17" s="18"/>
    </row>
    <row r="18" ht="20.05" customHeight="1">
      <c r="B18" s="31"/>
      <c r="C18" s="17">
        <v>868</v>
      </c>
      <c r="D18" s="18"/>
      <c r="E18" s="18"/>
    </row>
    <row r="19" ht="20.05" customHeight="1">
      <c r="B19" s="31"/>
      <c r="C19" s="17">
        <v>822</v>
      </c>
      <c r="D19" s="24"/>
      <c r="E19" s="24"/>
    </row>
    <row r="20" ht="20.05" customHeight="1">
      <c r="B20" s="32">
        <v>2022</v>
      </c>
      <c r="C20" s="17">
        <v>830</v>
      </c>
      <c r="D20" s="23">
        <f>C20</f>
        <v>830</v>
      </c>
      <c r="E20" s="18">
        <v>1346.048409475530</v>
      </c>
    </row>
    <row r="21" ht="20.05" customHeight="1">
      <c r="B21" s="31"/>
      <c r="C21" s="17"/>
      <c r="D21" s="18">
        <f>'Model'!F43</f>
        <v>1740.451254654830</v>
      </c>
      <c r="E21" s="24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