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" sheetId="4" r:id="rId7"/>
    <sheet name="Share price" sheetId="5" r:id="rId8"/>
  </sheets>
</workbook>
</file>

<file path=xl/sharedStrings.xml><?xml version="1.0" encoding="utf-8"?>
<sst xmlns="http://schemas.openxmlformats.org/spreadsheetml/2006/main" uniqueCount="55">
  <si>
    <t>Model</t>
  </si>
  <si>
    <t>Rpbn</t>
  </si>
  <si>
    <t>4Q 2022</t>
  </si>
  <si>
    <t xml:space="preserve">Cashflow </t>
  </si>
  <si>
    <t xml:space="preserve">Growth </t>
  </si>
  <si>
    <t>Sales</t>
  </si>
  <si>
    <t xml:space="preserve">Cost ratio </t>
  </si>
  <si>
    <t xml:space="preserve">Cash costs </t>
  </si>
  <si>
    <t xml:space="preserve">Operating </t>
  </si>
  <si>
    <t>Investment</t>
  </si>
  <si>
    <t>Leases</t>
  </si>
  <si>
    <t xml:space="preserve">Liabilities </t>
  </si>
  <si>
    <t xml:space="preserve">Revolver </t>
  </si>
  <si>
    <t xml:space="preserve">Payout </t>
  </si>
  <si>
    <t xml:space="preserve">Equity </t>
  </si>
  <si>
    <t xml:space="preserve">Before revolver </t>
  </si>
  <si>
    <t xml:space="preserve">Finance </t>
  </si>
  <si>
    <t xml:space="preserve">Beginning </t>
  </si>
  <si>
    <t xml:space="preserve">Change </t>
  </si>
  <si>
    <t xml:space="preserve">Ending </t>
  </si>
  <si>
    <t xml:space="preserve">Profit </t>
  </si>
  <si>
    <t>Non cash costs</t>
  </si>
  <si>
    <t xml:space="preserve">Balance sheet </t>
  </si>
  <si>
    <t xml:space="preserve">Other assets </t>
  </si>
  <si>
    <t xml:space="preserve">Depreciation </t>
  </si>
  <si>
    <t xml:space="preserve">Net other assets </t>
  </si>
  <si>
    <t xml:space="preserve">Check </t>
  </si>
  <si>
    <t xml:space="preserve">Net cash </t>
  </si>
  <si>
    <t xml:space="preserve">Valuation </t>
  </si>
  <si>
    <t xml:space="preserve">Capital </t>
  </si>
  <si>
    <t xml:space="preserve">Current value </t>
  </si>
  <si>
    <t>P/assets</t>
  </si>
  <si>
    <t xml:space="preserve">Yield </t>
  </si>
  <si>
    <t xml:space="preserve">Payback </t>
  </si>
  <si>
    <t xml:space="preserve">Forecast </t>
  </si>
  <si>
    <t xml:space="preserve">Value </t>
  </si>
  <si>
    <t xml:space="preserve">Shares </t>
  </si>
  <si>
    <t xml:space="preserve">Target </t>
  </si>
  <si>
    <t xml:space="preserve">Current </t>
  </si>
  <si>
    <t xml:space="preserve">V target </t>
  </si>
  <si>
    <t xml:space="preserve">12 month growth </t>
  </si>
  <si>
    <t xml:space="preserve">Sales forecasts </t>
  </si>
  <si>
    <t>Forecasts</t>
  </si>
  <si>
    <t xml:space="preserve">Non cash costs </t>
  </si>
  <si>
    <t>Cashflow</t>
  </si>
  <si>
    <t xml:space="preserve">Receipts </t>
  </si>
  <si>
    <t xml:space="preserve">Investment </t>
  </si>
  <si>
    <t>Free cashflow</t>
  </si>
  <si>
    <t>Data</t>
  </si>
  <si>
    <t>Cash</t>
  </si>
  <si>
    <t xml:space="preserve">Assets </t>
  </si>
  <si>
    <t>Other assets</t>
  </si>
  <si>
    <t>AGII</t>
  </si>
  <si>
    <t>Target</t>
  </si>
  <si>
    <t>Previous Target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</si>
</sst>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%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5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3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3" borderId="5" applyNumberFormat="0" applyFont="1" applyFill="1" applyBorder="1" applyAlignment="1" applyProtection="0">
      <alignment vertical="top" wrapText="1"/>
    </xf>
    <xf numFmtId="0" fontId="2" fillId="3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0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5</xdr:col>
      <xdr:colOff>504996</xdr:colOff>
      <xdr:row>1</xdr:row>
      <xdr:rowOff>67945</xdr:rowOff>
    </xdr:from>
    <xdr:to>
      <xdr:col>12</xdr:col>
      <xdr:colOff>362594</xdr:colOff>
      <xdr:row>48</xdr:row>
      <xdr:rowOff>95492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441996" y="419100"/>
          <a:ext cx="8569799" cy="1200047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E48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6.3516" style="1" customWidth="1"/>
    <col min="2" max="5" width="8.88281" style="1" customWidth="1"/>
    <col min="6" max="16384" width="16.3516" style="1" customWidth="1"/>
  </cols>
  <sheetData>
    <row r="1" ht="27.65" customHeight="1">
      <c r="A1" t="s" s="2">
        <v>0</v>
      </c>
      <c r="B1" s="2"/>
      <c r="C1" s="2"/>
      <c r="D1" s="2"/>
      <c r="E1" s="2"/>
    </row>
    <row r="2" ht="20.25" customHeight="1">
      <c r="A2" t="s" s="3">
        <v>1</v>
      </c>
      <c r="B2" s="4"/>
      <c r="C2" s="4"/>
      <c r="D2" t="s" s="5">
        <v>2</v>
      </c>
      <c r="E2" s="4"/>
    </row>
    <row r="3" ht="20.25" customHeight="1">
      <c r="A3" t="s" s="6">
        <v>3</v>
      </c>
      <c r="B3" s="7">
        <f>AVERAGE('Sales'!E17:E20)</f>
        <v>0.0223003672852168</v>
      </c>
      <c r="C3" s="8"/>
      <c r="D3" s="8"/>
      <c r="E3" s="9">
        <f>AVERAGE(B4:E4)</f>
        <v>0.035</v>
      </c>
    </row>
    <row r="4" ht="20.05" customHeight="1">
      <c r="A4" t="s" s="10">
        <v>4</v>
      </c>
      <c r="B4" s="11">
        <v>0.04</v>
      </c>
      <c r="C4" s="12">
        <v>0.07000000000000001</v>
      </c>
      <c r="D4" s="12">
        <v>0.04</v>
      </c>
      <c r="E4" s="12">
        <v>-0.01</v>
      </c>
    </row>
    <row r="5" ht="20.05" customHeight="1">
      <c r="A5" t="s" s="10">
        <v>5</v>
      </c>
      <c r="B5" s="13">
        <f>'Sales'!C20*(1+B4)</f>
        <v>709.904</v>
      </c>
      <c r="C5" s="14">
        <f>B5*(1+C4)</f>
        <v>759.59728</v>
      </c>
      <c r="D5" s="14">
        <f>C5*(1+D4)</f>
        <v>789.9811711999999</v>
      </c>
      <c r="E5" s="14">
        <f>D5*(1+E4)</f>
        <v>782.081359488</v>
      </c>
    </row>
    <row r="6" ht="20.05" customHeight="1">
      <c r="A6" t="s" s="10">
        <v>6</v>
      </c>
      <c r="B6" s="15">
        <f>'Sales'!I20</f>
        <v>-0.79561160415424</v>
      </c>
      <c r="C6" s="16">
        <f>B6</f>
        <v>-0.79561160415424</v>
      </c>
      <c r="D6" s="16">
        <f>C6</f>
        <v>-0.79561160415424</v>
      </c>
      <c r="E6" s="16">
        <f>D6</f>
        <v>-0.79561160415424</v>
      </c>
    </row>
    <row r="7" ht="20.05" customHeight="1">
      <c r="A7" t="s" s="10">
        <v>7</v>
      </c>
      <c r="B7" s="13">
        <f>B5*B6</f>
        <v>-564.807860235512</v>
      </c>
      <c r="C7" s="14">
        <f>C5*C6</f>
        <v>-604.344410451997</v>
      </c>
      <c r="D7" s="14">
        <f>D5*D6</f>
        <v>-628.518186870077</v>
      </c>
      <c r="E7" s="14">
        <f>E5*E6</f>
        <v>-622.233005001377</v>
      </c>
    </row>
    <row r="8" ht="20.05" customHeight="1">
      <c r="A8" t="s" s="10">
        <v>8</v>
      </c>
      <c r="B8" s="13">
        <f>B5+B7</f>
        <v>145.096139764488</v>
      </c>
      <c r="C8" s="14">
        <f>C5+C7</f>
        <v>155.252869548003</v>
      </c>
      <c r="D8" s="14">
        <f>D5+D7</f>
        <v>161.462984329923</v>
      </c>
      <c r="E8" s="14">
        <f>E5+E7</f>
        <v>159.848354486623</v>
      </c>
    </row>
    <row r="9" ht="20.05" customHeight="1">
      <c r="A9" t="s" s="10">
        <v>9</v>
      </c>
      <c r="B9" s="13">
        <f>AVERAGE('Cashflow'!E17:E20)</f>
        <v>-67.575</v>
      </c>
      <c r="C9" s="14">
        <f>B9</f>
        <v>-67.575</v>
      </c>
      <c r="D9" s="14">
        <f>C9</f>
        <v>-67.575</v>
      </c>
      <c r="E9" s="14">
        <f>D9</f>
        <v>-67.575</v>
      </c>
    </row>
    <row r="10" ht="20.05" customHeight="1">
      <c r="A10" t="s" s="10">
        <v>10</v>
      </c>
      <c r="B10" s="13">
        <f>'Cashflow'!F20</f>
        <v>-16.7</v>
      </c>
      <c r="C10" s="14">
        <f>B10</f>
        <v>-16.7</v>
      </c>
      <c r="D10" s="14">
        <f>C10</f>
        <v>-16.7</v>
      </c>
      <c r="E10" s="14">
        <f>D10</f>
        <v>-16.7</v>
      </c>
    </row>
    <row r="11" ht="20.05" customHeight="1">
      <c r="A11" t="s" s="10">
        <v>11</v>
      </c>
      <c r="B11" s="13">
        <f>-'Balance sheet'!G20/20</f>
        <v>-216.1</v>
      </c>
      <c r="C11" s="14">
        <f>-B27/20</f>
        <v>-205.295</v>
      </c>
      <c r="D11" s="14">
        <f>-C27/20</f>
        <v>-195.03025</v>
      </c>
      <c r="E11" s="14">
        <f>-D27/20</f>
        <v>-185.2787375</v>
      </c>
    </row>
    <row r="12" ht="20.05" customHeight="1">
      <c r="A12" t="s" s="10">
        <v>12</v>
      </c>
      <c r="B12" s="13">
        <f>-MIN(0,B15)</f>
        <v>138.578860235512</v>
      </c>
      <c r="C12" s="14">
        <f>-MIN(B28,C15)</f>
        <v>117.617130451997</v>
      </c>
      <c r="D12" s="14">
        <f>-MIN(C28,D15)</f>
        <v>101.142265670077</v>
      </c>
      <c r="E12" s="14">
        <f>-MIN(D28,E15)</f>
        <v>93.005383013377</v>
      </c>
    </row>
    <row r="13" ht="20.05" customHeight="1">
      <c r="A13" t="s" s="10">
        <v>13</v>
      </c>
      <c r="B13" s="17">
        <v>0</v>
      </c>
      <c r="C13" s="18"/>
      <c r="D13" s="18"/>
      <c r="E13" s="18"/>
    </row>
    <row r="14" ht="20.05" customHeight="1">
      <c r="A14" t="s" s="10">
        <v>14</v>
      </c>
      <c r="B14" s="13">
        <f>IF(B22&gt;0,-B22*$B$13,0)</f>
        <v>0</v>
      </c>
      <c r="C14" s="14">
        <f>IF(C22&gt;0,-C22*$B$13,0)</f>
        <v>0</v>
      </c>
      <c r="D14" s="14">
        <f>IF(D22&gt;0,-D22*$B$13,0)</f>
        <v>0</v>
      </c>
      <c r="E14" s="14">
        <f>IF(E22&gt;0,-E22*$B$13,0)</f>
        <v>0</v>
      </c>
    </row>
    <row r="15" ht="20.05" customHeight="1">
      <c r="A15" t="s" s="10">
        <v>15</v>
      </c>
      <c r="B15" s="13">
        <f>B8+B9+B11+B14</f>
        <v>-138.578860235512</v>
      </c>
      <c r="C15" s="14">
        <f>C8+C9+C11+C14</f>
        <v>-117.617130451997</v>
      </c>
      <c r="D15" s="14">
        <f>D8+D9+D11+D14</f>
        <v>-101.142265670077</v>
      </c>
      <c r="E15" s="14">
        <f>E8+E9+E11+E14</f>
        <v>-93.005383013377</v>
      </c>
    </row>
    <row r="16" ht="20.05" customHeight="1">
      <c r="A16" t="s" s="10">
        <v>16</v>
      </c>
      <c r="B16" s="13">
        <f>B11+B14+B12</f>
        <v>-77.521139764488</v>
      </c>
      <c r="C16" s="14">
        <f>C11+C14+C12</f>
        <v>-87.677869548003</v>
      </c>
      <c r="D16" s="14">
        <f>D11+D14+D12</f>
        <v>-93.887984329923</v>
      </c>
      <c r="E16" s="14">
        <f>E11+E14+E12</f>
        <v>-92.27335448662301</v>
      </c>
    </row>
    <row r="17" ht="20.05" customHeight="1">
      <c r="A17" t="s" s="10">
        <v>17</v>
      </c>
      <c r="B17" s="13">
        <f>'Balance sheet'!C20</f>
        <v>516</v>
      </c>
      <c r="C17" s="14">
        <f>B19</f>
        <v>516</v>
      </c>
      <c r="D17" s="14">
        <f>C19</f>
        <v>516</v>
      </c>
      <c r="E17" s="14">
        <f>D19</f>
        <v>516</v>
      </c>
    </row>
    <row r="18" ht="20.05" customHeight="1">
      <c r="A18" t="s" s="10">
        <v>18</v>
      </c>
      <c r="B18" s="13">
        <f>B8+B9+B16</f>
        <v>0</v>
      </c>
      <c r="C18" s="14">
        <f>C8+C9+C16</f>
        <v>0</v>
      </c>
      <c r="D18" s="14">
        <f>D8+D9+D16</f>
        <v>0</v>
      </c>
      <c r="E18" s="14">
        <f>E8+E9+E16</f>
        <v>0</v>
      </c>
    </row>
    <row r="19" ht="20.05" customHeight="1">
      <c r="A19" t="s" s="10">
        <v>19</v>
      </c>
      <c r="B19" s="13">
        <f>B17+B18</f>
        <v>516</v>
      </c>
      <c r="C19" s="14">
        <f>C17+C18</f>
        <v>516</v>
      </c>
      <c r="D19" s="14">
        <f>D17+D18</f>
        <v>516</v>
      </c>
      <c r="E19" s="14">
        <f>E17+E18</f>
        <v>516</v>
      </c>
    </row>
    <row r="20" ht="20.05" customHeight="1">
      <c r="A20" t="s" s="19">
        <v>20</v>
      </c>
      <c r="B20" s="20"/>
      <c r="C20" s="18"/>
      <c r="D20" s="18"/>
      <c r="E20" s="18"/>
    </row>
    <row r="21" ht="20.05" customHeight="1">
      <c r="A21" t="s" s="10">
        <v>21</v>
      </c>
      <c r="B21" s="13">
        <f>-'Sales'!F20</f>
        <v>-93.09999999999999</v>
      </c>
      <c r="C21" s="14">
        <f>B21</f>
        <v>-93.09999999999999</v>
      </c>
      <c r="D21" s="14">
        <f>C21</f>
        <v>-93.09999999999999</v>
      </c>
      <c r="E21" s="14">
        <f>D21</f>
        <v>-93.09999999999999</v>
      </c>
    </row>
    <row r="22" ht="20.05" customHeight="1">
      <c r="A22" t="s" s="10">
        <v>20</v>
      </c>
      <c r="B22" s="13">
        <f>B5+B7+B21</f>
        <v>51.996139764488</v>
      </c>
      <c r="C22" s="14">
        <f>C5+C7+C21</f>
        <v>62.152869548003</v>
      </c>
      <c r="D22" s="14">
        <f>D5+D7+D21</f>
        <v>68.36298432992299</v>
      </c>
      <c r="E22" s="14">
        <f>E5+E7+E21</f>
        <v>66.748354486623</v>
      </c>
    </row>
    <row r="23" ht="20.05" customHeight="1">
      <c r="A23" t="s" s="19">
        <v>22</v>
      </c>
      <c r="B23" s="20"/>
      <c r="C23" s="18"/>
      <c r="D23" s="18"/>
      <c r="E23" s="18"/>
    </row>
    <row r="24" ht="20.05" customHeight="1">
      <c r="A24" t="s" s="10">
        <v>23</v>
      </c>
      <c r="B24" s="13">
        <f>'Balance sheet'!E20+'Balance sheet'!F20-B9</f>
        <v>9852.575000000001</v>
      </c>
      <c r="C24" s="14">
        <f>B24-C9</f>
        <v>9920.15</v>
      </c>
      <c r="D24" s="14">
        <f>C24-D9</f>
        <v>9987.725</v>
      </c>
      <c r="E24" s="14">
        <f>D24-E9</f>
        <v>10055.3</v>
      </c>
    </row>
    <row r="25" ht="20.05" customHeight="1">
      <c r="A25" t="s" s="10">
        <v>24</v>
      </c>
      <c r="B25" s="13">
        <f>'Balance sheet'!F20-B21</f>
        <v>2443.1</v>
      </c>
      <c r="C25" s="14">
        <f>B25-C21</f>
        <v>2536.2</v>
      </c>
      <c r="D25" s="14">
        <f>C25-D21</f>
        <v>2629.3</v>
      </c>
      <c r="E25" s="14">
        <f>D25-E21</f>
        <v>2722.4</v>
      </c>
    </row>
    <row r="26" ht="20.05" customHeight="1">
      <c r="A26" t="s" s="10">
        <v>25</v>
      </c>
      <c r="B26" s="13">
        <f>B24-B25</f>
        <v>7409.475</v>
      </c>
      <c r="C26" s="14">
        <f>C24-C25</f>
        <v>7383.95</v>
      </c>
      <c r="D26" s="14">
        <f>D24-D25</f>
        <v>7358.425</v>
      </c>
      <c r="E26" s="14">
        <f>E24-E25</f>
        <v>7332.9</v>
      </c>
    </row>
    <row r="27" ht="20.05" customHeight="1">
      <c r="A27" t="s" s="10">
        <v>11</v>
      </c>
      <c r="B27" s="13">
        <f>'Balance sheet'!G20+B11</f>
        <v>4105.9</v>
      </c>
      <c r="C27" s="14">
        <f>B27+C11</f>
        <v>3900.605</v>
      </c>
      <c r="D27" s="14">
        <f>C27+D11</f>
        <v>3705.57475</v>
      </c>
      <c r="E27" s="14">
        <f>D27+E11</f>
        <v>3520.2960125</v>
      </c>
    </row>
    <row r="28" ht="20.05" customHeight="1">
      <c r="A28" t="s" s="10">
        <v>12</v>
      </c>
      <c r="B28" s="13">
        <f>B12</f>
        <v>138.578860235512</v>
      </c>
      <c r="C28" s="14">
        <f>B28+C12</f>
        <v>256.195990687509</v>
      </c>
      <c r="D28" s="14">
        <f>C28+D12</f>
        <v>357.338256357586</v>
      </c>
      <c r="E28" s="14">
        <f>D28+E12</f>
        <v>450.343639370963</v>
      </c>
    </row>
    <row r="29" ht="20.05" customHeight="1">
      <c r="A29" t="s" s="10">
        <v>14</v>
      </c>
      <c r="B29" s="13">
        <f>'Balance sheet'!H20+B22+B14</f>
        <v>3680.996139764490</v>
      </c>
      <c r="C29" s="14">
        <f>B29+C22+C14</f>
        <v>3743.149009312490</v>
      </c>
      <c r="D29" s="14">
        <f>C29+D22+D14</f>
        <v>3811.511993642410</v>
      </c>
      <c r="E29" s="14">
        <f>D29+E22+E14</f>
        <v>3878.260348129030</v>
      </c>
    </row>
    <row r="30" ht="20.05" customHeight="1">
      <c r="A30" t="s" s="10">
        <v>26</v>
      </c>
      <c r="B30" s="13">
        <f>B27+B28+B29-B19-B26</f>
        <v>2e-12</v>
      </c>
      <c r="C30" s="14">
        <f>C27+C28+C29-C19-C26</f>
        <v>-1e-12</v>
      </c>
      <c r="D30" s="14">
        <f>D27+D28+D29-D19-D26</f>
        <v>-4e-12</v>
      </c>
      <c r="E30" s="14">
        <f>E27+E28+E29-E19-E26</f>
        <v>-7e-12</v>
      </c>
    </row>
    <row r="31" ht="20.05" customHeight="1">
      <c r="A31" t="s" s="10">
        <v>27</v>
      </c>
      <c r="B31" s="13">
        <f>B19-B27-B28</f>
        <v>-3728.478860235510</v>
      </c>
      <c r="C31" s="14">
        <f>C19-C27-C28</f>
        <v>-3640.800990687510</v>
      </c>
      <c r="D31" s="14">
        <f>D19-D27-D28</f>
        <v>-3546.913006357590</v>
      </c>
      <c r="E31" s="14">
        <f>E19-E27-E28</f>
        <v>-3454.639651870960</v>
      </c>
    </row>
    <row r="32" ht="20.05" customHeight="1">
      <c r="A32" t="s" s="19">
        <v>28</v>
      </c>
      <c r="B32" s="20"/>
      <c r="C32" s="18"/>
      <c r="D32" s="18"/>
      <c r="E32" s="18"/>
    </row>
    <row r="33" ht="20.05" customHeight="1">
      <c r="A33" t="s" s="10">
        <v>29</v>
      </c>
      <c r="B33" s="13">
        <f>'Cashflow'!M20-B16</f>
        <v>-779.278860235512</v>
      </c>
      <c r="C33" s="14">
        <f>B33-C16</f>
        <v>-691.600990687509</v>
      </c>
      <c r="D33" s="14">
        <f>C33-D16</f>
        <v>-597.713006357586</v>
      </c>
      <c r="E33" s="14">
        <f>D33-E16</f>
        <v>-505.439651870963</v>
      </c>
    </row>
    <row r="34" ht="20.05" customHeight="1">
      <c r="A34" t="s" s="10">
        <v>30</v>
      </c>
      <c r="B34" s="20"/>
      <c r="C34" s="18"/>
      <c r="D34" s="18"/>
      <c r="E34" s="14">
        <v>6011228563200</v>
      </c>
    </row>
    <row r="35" ht="20.05" customHeight="1">
      <c r="A35" t="s" s="10">
        <v>30</v>
      </c>
      <c r="B35" s="20"/>
      <c r="C35" s="18"/>
      <c r="D35" s="18"/>
      <c r="E35" s="14">
        <f>E34/1000000000</f>
        <v>6011.2285632</v>
      </c>
    </row>
    <row r="36" ht="20.05" customHeight="1">
      <c r="A36" t="s" s="10">
        <v>31</v>
      </c>
      <c r="B36" s="20"/>
      <c r="C36" s="18"/>
      <c r="D36" s="18"/>
      <c r="E36" s="21">
        <f>E35/(E19+E26)</f>
        <v>0.76586891961931</v>
      </c>
    </row>
    <row r="37" ht="20.05" customHeight="1">
      <c r="A37" t="s" s="10">
        <v>32</v>
      </c>
      <c r="B37" s="20"/>
      <c r="C37" s="18"/>
      <c r="D37" s="18"/>
      <c r="E37" s="16">
        <f>-(B14+C14+D14+E14)/E35</f>
        <v>0</v>
      </c>
    </row>
    <row r="38" ht="20.05" customHeight="1">
      <c r="A38" t="s" s="10">
        <v>3</v>
      </c>
      <c r="B38" s="20"/>
      <c r="C38" s="18"/>
      <c r="D38" s="18"/>
      <c r="E38" s="14">
        <f>SUM(B8:E9)</f>
        <v>351.360348129037</v>
      </c>
    </row>
    <row r="39" ht="20.05" customHeight="1">
      <c r="A39" t="s" s="10">
        <v>33</v>
      </c>
      <c r="B39" s="20"/>
      <c r="C39" s="18"/>
      <c r="D39" s="18"/>
      <c r="E39" s="14">
        <f>'Balance sheet'!E20/E38</f>
        <v>21.1606120030069</v>
      </c>
    </row>
    <row r="40" ht="20.05" customHeight="1">
      <c r="A40" t="s" s="10">
        <v>28</v>
      </c>
      <c r="B40" s="20"/>
      <c r="C40" s="18"/>
      <c r="D40" s="18"/>
      <c r="E40" s="14">
        <f>E35/E38</f>
        <v>17.1084432128135</v>
      </c>
    </row>
    <row r="41" ht="20.05" customHeight="1">
      <c r="A41" t="s" s="10">
        <v>34</v>
      </c>
      <c r="B41" s="20"/>
      <c r="C41" s="18"/>
      <c r="D41" s="18"/>
      <c r="E41" s="22">
        <v>18</v>
      </c>
    </row>
    <row r="42" ht="20.05" customHeight="1">
      <c r="A42" t="s" s="10">
        <v>35</v>
      </c>
      <c r="B42" s="20"/>
      <c r="C42" s="18"/>
      <c r="D42" s="18"/>
      <c r="E42" s="14">
        <f>E38*E41</f>
        <v>6324.486266322670</v>
      </c>
    </row>
    <row r="43" ht="20.05" customHeight="1">
      <c r="A43" t="s" s="10">
        <v>36</v>
      </c>
      <c r="B43" s="20"/>
      <c r="C43" s="18"/>
      <c r="D43" s="18"/>
      <c r="E43" s="14">
        <f>E35/E45</f>
        <v>3.043660032</v>
      </c>
    </row>
    <row r="44" ht="20.05" customHeight="1">
      <c r="A44" t="s" s="10">
        <v>37</v>
      </c>
      <c r="B44" s="20"/>
      <c r="C44" s="18"/>
      <c r="D44" s="18"/>
      <c r="E44" s="14">
        <f>E42/E43</f>
        <v>2077.921384066940</v>
      </c>
    </row>
    <row r="45" ht="20.05" customHeight="1">
      <c r="A45" t="s" s="10">
        <v>38</v>
      </c>
      <c r="B45" s="20"/>
      <c r="C45" s="18"/>
      <c r="D45" s="18"/>
      <c r="E45" s="14">
        <v>1975</v>
      </c>
    </row>
    <row r="46" ht="20.05" customHeight="1">
      <c r="A46" t="s" s="10">
        <v>39</v>
      </c>
      <c r="B46" s="20"/>
      <c r="C46" s="18"/>
      <c r="D46" s="18"/>
      <c r="E46" s="16">
        <f>E44/E45-1</f>
        <v>0.0521120931984506</v>
      </c>
    </row>
    <row r="47" ht="20.05" customHeight="1">
      <c r="A47" t="s" s="10">
        <v>40</v>
      </c>
      <c r="B47" s="20"/>
      <c r="C47" s="18"/>
      <c r="D47" s="18"/>
      <c r="E47" s="16">
        <f>'Sales'!C20/'Sales'!C16-1</f>
        <v>0.0620818422281002</v>
      </c>
    </row>
    <row r="48" ht="20.05" customHeight="1">
      <c r="A48" t="s" s="10">
        <v>41</v>
      </c>
      <c r="B48" s="20"/>
      <c r="C48" s="18"/>
      <c r="D48" s="18"/>
      <c r="E48" s="16">
        <f>'Sales'!F23/'Sales'!E23-1</f>
        <v>0.0851853594279262</v>
      </c>
    </row>
  </sheetData>
  <mergeCells count="1">
    <mergeCell ref="A1:E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J24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7.125" style="23" customWidth="1"/>
    <col min="2" max="2" width="9.48438" style="23" customWidth="1"/>
    <col min="3" max="10" width="9.29688" style="23" customWidth="1"/>
    <col min="11" max="16384" width="16.3516" style="23" customWidth="1"/>
  </cols>
  <sheetData>
    <row r="1" ht="42.65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</row>
    <row r="3" ht="32.25" customHeight="1">
      <c r="B3" t="s" s="5">
        <v>1</v>
      </c>
      <c r="C3" t="s" s="5">
        <v>5</v>
      </c>
      <c r="D3" t="s" s="5">
        <v>42</v>
      </c>
      <c r="E3" t="s" s="5">
        <v>4</v>
      </c>
      <c r="F3" t="s" s="5">
        <v>43</v>
      </c>
      <c r="G3" t="s" s="5">
        <v>20</v>
      </c>
      <c r="H3" t="s" s="5">
        <v>6</v>
      </c>
      <c r="I3" t="s" s="5">
        <v>6</v>
      </c>
      <c r="J3" t="s" s="5">
        <v>34</v>
      </c>
    </row>
    <row r="4" ht="20.25" customHeight="1">
      <c r="B4" s="24">
        <v>2018</v>
      </c>
      <c r="C4" s="25">
        <v>490</v>
      </c>
      <c r="D4" s="26"/>
      <c r="E4" s="26"/>
      <c r="F4" s="26">
        <v>64.65000000000001</v>
      </c>
      <c r="G4" s="26">
        <v>31</v>
      </c>
      <c r="H4" s="27">
        <f>(G4+F4-C4)/C4</f>
        <v>-0.804795918367347</v>
      </c>
      <c r="I4" s="27"/>
      <c r="J4" s="27"/>
    </row>
    <row r="5" ht="20.05" customHeight="1">
      <c r="B5" s="28"/>
      <c r="C5" s="13">
        <v>461</v>
      </c>
      <c r="D5" s="16"/>
      <c r="E5" s="16">
        <f>C5/C4-1</f>
        <v>-0.0591836734693878</v>
      </c>
      <c r="F5" s="14">
        <v>64.65000000000001</v>
      </c>
      <c r="G5" s="14">
        <v>18</v>
      </c>
      <c r="H5" s="16">
        <f>(G5+F5-C5)/C5</f>
        <v>-0.820715835140998</v>
      </c>
      <c r="I5" s="16">
        <f>AVERAGE(H3:H5)</f>
        <v>-0.812755876754173</v>
      </c>
      <c r="J5" s="16"/>
    </row>
    <row r="6" ht="20.05" customHeight="1">
      <c r="B6" s="28"/>
      <c r="C6" s="13">
        <v>513</v>
      </c>
      <c r="D6" s="16"/>
      <c r="E6" s="16">
        <f>C6/C5-1</f>
        <v>0.112798264642082</v>
      </c>
      <c r="F6" s="14">
        <v>64.65000000000001</v>
      </c>
      <c r="G6" s="14">
        <v>35.5</v>
      </c>
      <c r="H6" s="16">
        <f>(G6+F6-C6)/C6</f>
        <v>-0.804775828460039</v>
      </c>
      <c r="I6" s="16">
        <f>AVERAGE(H3:H6)</f>
        <v>-0.810095860656128</v>
      </c>
      <c r="J6" s="16"/>
    </row>
    <row r="7" ht="20.05" customHeight="1">
      <c r="B7" s="28"/>
      <c r="C7" s="13">
        <v>609</v>
      </c>
      <c r="D7" s="16"/>
      <c r="E7" s="16">
        <f>C7/C6-1</f>
        <v>0.187134502923977</v>
      </c>
      <c r="F7" s="14">
        <v>64.65000000000001</v>
      </c>
      <c r="G7" s="14">
        <v>29.9</v>
      </c>
      <c r="H7" s="16">
        <f>(G7+F7-C7)/C7</f>
        <v>-0.844745484400657</v>
      </c>
      <c r="I7" s="16">
        <f>AVERAGE(H4:H7)</f>
        <v>-0.81875826659226</v>
      </c>
      <c r="J7" s="16"/>
    </row>
    <row r="8" ht="20.05" customHeight="1">
      <c r="B8" s="29">
        <v>2019</v>
      </c>
      <c r="C8" s="13">
        <v>522.3</v>
      </c>
      <c r="D8" s="16"/>
      <c r="E8" s="16">
        <f>C8/C7-1</f>
        <v>-0.142364532019704</v>
      </c>
      <c r="F8" s="14">
        <v>69.75</v>
      </c>
      <c r="G8" s="14">
        <v>31</v>
      </c>
      <c r="H8" s="16">
        <f>(G8+F8-C8)/C8</f>
        <v>-0.807103197396132</v>
      </c>
      <c r="I8" s="16">
        <f>AVERAGE(H5:H8)</f>
        <v>-0.819335086349457</v>
      </c>
      <c r="J8" s="16"/>
    </row>
    <row r="9" ht="20.05" customHeight="1">
      <c r="B9" s="28"/>
      <c r="C9" s="13">
        <v>530.2</v>
      </c>
      <c r="D9" s="16"/>
      <c r="E9" s="16">
        <f>C9/C8-1</f>
        <v>0.0151254068542983</v>
      </c>
      <c r="F9" s="14">
        <v>69.75</v>
      </c>
      <c r="G9" s="14">
        <v>14.7</v>
      </c>
      <c r="H9" s="16">
        <f>(G9+F9-C9)/C9</f>
        <v>-0.840720482836665</v>
      </c>
      <c r="I9" s="16">
        <f>AVERAGE(H6:H9)</f>
        <v>-0.824336248273373</v>
      </c>
      <c r="J9" s="16"/>
    </row>
    <row r="10" ht="20.05" customHeight="1">
      <c r="B10" s="28"/>
      <c r="C10" s="13">
        <v>565.2</v>
      </c>
      <c r="D10" s="16"/>
      <c r="E10" s="16">
        <f>C10/C9-1</f>
        <v>0.0660128253489249</v>
      </c>
      <c r="F10" s="14">
        <v>69.75</v>
      </c>
      <c r="G10" s="14">
        <v>30.3</v>
      </c>
      <c r="H10" s="16">
        <f>(G10+F10-C10)/C10</f>
        <v>-0.822983014861996</v>
      </c>
      <c r="I10" s="16">
        <f>AVERAGE(H7:H10)</f>
        <v>-0.828888044873863</v>
      </c>
      <c r="J10" s="16"/>
    </row>
    <row r="11" ht="20.05" customHeight="1">
      <c r="B11" s="28"/>
      <c r="C11" s="13">
        <v>585.9</v>
      </c>
      <c r="D11" s="16"/>
      <c r="E11" s="16">
        <f>C11/C10-1</f>
        <v>0.0366242038216561</v>
      </c>
      <c r="F11" s="14">
        <v>69.75</v>
      </c>
      <c r="G11" s="14">
        <v>27.4</v>
      </c>
      <c r="H11" s="16">
        <f>(G11+F11-C11)/C11</f>
        <v>-0.834186721283495</v>
      </c>
      <c r="I11" s="16">
        <f>AVERAGE(H8:H11)</f>
        <v>-0.826248354094572</v>
      </c>
      <c r="J11" s="16"/>
    </row>
    <row r="12" ht="20.05" customHeight="1">
      <c r="B12" s="29">
        <v>2020</v>
      </c>
      <c r="C12" s="13">
        <v>544.4</v>
      </c>
      <c r="D12" s="16"/>
      <c r="E12" s="16">
        <f>C12/C11-1</f>
        <v>-0.0708311998634579</v>
      </c>
      <c r="F12" s="14">
        <v>67.75</v>
      </c>
      <c r="G12" s="14">
        <v>20.3</v>
      </c>
      <c r="H12" s="16">
        <f>(G12+F12-C12)/C12</f>
        <v>-0.838262307127112</v>
      </c>
      <c r="I12" s="16">
        <f>AVERAGE(H9:H12)</f>
        <v>-0.834038131527317</v>
      </c>
      <c r="J12" s="16"/>
    </row>
    <row r="13" ht="20.05" customHeight="1">
      <c r="B13" s="28"/>
      <c r="C13" s="13">
        <v>485.6</v>
      </c>
      <c r="D13" s="16"/>
      <c r="E13" s="16">
        <f>C13/C12-1</f>
        <v>-0.108008817046289</v>
      </c>
      <c r="F13" s="14">
        <v>67.75</v>
      </c>
      <c r="G13" s="14">
        <v>-2.2</v>
      </c>
      <c r="H13" s="16">
        <f>(G13+F13-C13)/C13</f>
        <v>-0.8650123558484351</v>
      </c>
      <c r="I13" s="16">
        <f>AVERAGE(H10:H13)</f>
        <v>-0.84011109978026</v>
      </c>
      <c r="J13" s="16"/>
    </row>
    <row r="14" ht="20.05" customHeight="1">
      <c r="B14" s="28"/>
      <c r="C14" s="13">
        <v>546.8</v>
      </c>
      <c r="D14" s="16"/>
      <c r="E14" s="16">
        <f>C14/C13-1</f>
        <v>0.126029654036244</v>
      </c>
      <c r="F14" s="14">
        <v>67.75</v>
      </c>
      <c r="G14" s="14">
        <v>14.1</v>
      </c>
      <c r="H14" s="16">
        <f>(G14+F14-C14)/C14</f>
        <v>-0.850310899780541</v>
      </c>
      <c r="I14" s="16">
        <f>AVERAGE(H11:H14)</f>
        <v>-0.846943071009896</v>
      </c>
      <c r="J14" s="16"/>
    </row>
    <row r="15" ht="20.05" customHeight="1">
      <c r="B15" s="28"/>
      <c r="C15" s="13">
        <v>611.4</v>
      </c>
      <c r="D15" s="16"/>
      <c r="E15" s="16">
        <f>C15/C14-1</f>
        <v>0.118141916605706</v>
      </c>
      <c r="F15" s="14">
        <v>67.75</v>
      </c>
      <c r="G15" s="14">
        <v>67.7</v>
      </c>
      <c r="H15" s="16">
        <f>(G15+F15-C15)/C15</f>
        <v>-0.778459273797841</v>
      </c>
      <c r="I15" s="16">
        <f>AVERAGE(H12:H15)</f>
        <v>-0.833011209138482</v>
      </c>
      <c r="J15" s="16"/>
    </row>
    <row r="16" ht="20.05" customHeight="1">
      <c r="B16" s="29">
        <v>2021</v>
      </c>
      <c r="C16" s="13">
        <v>642.7</v>
      </c>
      <c r="D16" s="16"/>
      <c r="E16" s="16">
        <f>C16/C15-1</f>
        <v>0.0511939810271508</v>
      </c>
      <c r="F16" s="14">
        <f>9.8+72.2</f>
        <v>82</v>
      </c>
      <c r="G16" s="14">
        <v>51.5</v>
      </c>
      <c r="H16" s="16">
        <f>(G16+F16-C16)/C16</f>
        <v>-0.792282557958612</v>
      </c>
      <c r="I16" s="16">
        <f>AVERAGE(H13:H16)</f>
        <v>-0.821516271846357</v>
      </c>
      <c r="J16" s="16"/>
    </row>
    <row r="17" ht="20.05" customHeight="1">
      <c r="B17" s="28"/>
      <c r="C17" s="13">
        <v>653.1</v>
      </c>
      <c r="D17" s="16"/>
      <c r="E17" s="16">
        <f>C17/C16-1</f>
        <v>0.0161817333125875</v>
      </c>
      <c r="F17" s="14">
        <f>21.7+151.3-F16</f>
        <v>91</v>
      </c>
      <c r="G17" s="14">
        <v>47.4</v>
      </c>
      <c r="H17" s="16">
        <f>(G17+F17-C17)/C17</f>
        <v>-0.788087582299801</v>
      </c>
      <c r="I17" s="16">
        <f>AVERAGE(H14:H17)</f>
        <v>-0.8022850784591991</v>
      </c>
      <c r="J17" s="16"/>
    </row>
    <row r="18" ht="20.05" customHeight="1">
      <c r="B18" s="28"/>
      <c r="C18" s="13">
        <f>2074.6-SUM(C16:C17)</f>
        <v>778.8</v>
      </c>
      <c r="D18" s="14">
        <v>640.038</v>
      </c>
      <c r="E18" s="16">
        <f>C18/C17-1</f>
        <v>0.192466697289848</v>
      </c>
      <c r="F18" s="14">
        <f>33.1+230.4-SUM(F16:F17)</f>
        <v>90.5</v>
      </c>
      <c r="G18" s="14">
        <f>178.9-SUM(G16:G17)</f>
        <v>80</v>
      </c>
      <c r="H18" s="16">
        <f>(G18+F18-C18)/C18</f>
        <v>-0.7810734463276841</v>
      </c>
      <c r="I18" s="16">
        <f>AVERAGE(H15:H18)</f>
        <v>-0.784975715095985</v>
      </c>
      <c r="J18" s="16"/>
    </row>
    <row r="19" ht="20.05" customHeight="1">
      <c r="B19" s="28"/>
      <c r="C19" s="13">
        <f>2738.8-SUM(C16:C18)</f>
        <v>664.2</v>
      </c>
      <c r="D19" s="14">
        <v>833.316</v>
      </c>
      <c r="E19" s="16">
        <f>C19/C18-1</f>
        <v>-0.147149460708783</v>
      </c>
      <c r="F19" s="14">
        <f>41.9+310.7-SUM(F16:F18)</f>
        <v>89.09999999999999</v>
      </c>
      <c r="G19" s="14">
        <f>211.5-SUM(G16:G18)</f>
        <v>32.6</v>
      </c>
      <c r="H19" s="16">
        <f>(G19+F19-C19)/C19</f>
        <v>-0.816772056609455</v>
      </c>
      <c r="I19" s="16">
        <f>AVERAGE(H16:H19)</f>
        <v>-0.794553910798888</v>
      </c>
      <c r="J19" s="16"/>
    </row>
    <row r="20" ht="20.05" customHeight="1">
      <c r="B20" s="29">
        <v>2022</v>
      </c>
      <c r="C20" s="13">
        <v>682.6</v>
      </c>
      <c r="D20" s="14">
        <v>833.316</v>
      </c>
      <c r="E20" s="16">
        <f>C20/C19-1</f>
        <v>0.0277024992472147</v>
      </c>
      <c r="F20" s="14">
        <f>11.7+81.4</f>
        <v>93.09999999999999</v>
      </c>
      <c r="G20" s="14">
        <v>45.8</v>
      </c>
      <c r="H20" s="16">
        <f>(G20+F20-C20)/C20</f>
        <v>-0.796513331380018</v>
      </c>
      <c r="I20" s="16">
        <f>AVERAGE(H17:H20)</f>
        <v>-0.79561160415424</v>
      </c>
      <c r="J20" s="16">
        <v>-0.784975715095985</v>
      </c>
    </row>
    <row r="21" ht="20.05" customHeight="1">
      <c r="B21" s="28"/>
      <c r="C21" s="13"/>
      <c r="D21" s="14">
        <f>'Model'!B5</f>
        <v>709.904</v>
      </c>
      <c r="E21" s="14"/>
      <c r="F21" s="14"/>
      <c r="G21" s="14"/>
      <c r="H21" s="18"/>
      <c r="I21" s="14"/>
      <c r="J21" s="16">
        <f>'Model'!B6</f>
        <v>-0.79561160415424</v>
      </c>
    </row>
    <row r="22" ht="20.05" customHeight="1">
      <c r="B22" s="28"/>
      <c r="C22" s="13"/>
      <c r="D22" s="14">
        <f>'Model'!C5</f>
        <v>759.59728</v>
      </c>
      <c r="E22" s="14"/>
      <c r="F22" s="14"/>
      <c r="G22" s="14"/>
      <c r="H22" s="14"/>
      <c r="I22" s="14"/>
      <c r="J22" s="14"/>
    </row>
    <row r="23" ht="20.05" customHeight="1">
      <c r="B23" s="28"/>
      <c r="C23" s="13"/>
      <c r="D23" s="14">
        <f>'Model'!D5</f>
        <v>789.9811711999999</v>
      </c>
      <c r="E23" s="14">
        <f>SUM(C18:C20)</f>
        <v>2125.6</v>
      </c>
      <c r="F23" s="14">
        <f>SUM(D18:D20)</f>
        <v>2306.67</v>
      </c>
      <c r="G23" s="14"/>
      <c r="H23" s="18"/>
      <c r="I23" s="14"/>
      <c r="J23" s="14"/>
    </row>
    <row r="24" ht="20.05" customHeight="1">
      <c r="B24" s="29">
        <v>2023</v>
      </c>
      <c r="C24" s="13"/>
      <c r="D24" s="14">
        <f>'Model'!E5</f>
        <v>782.081359488</v>
      </c>
      <c r="E24" s="14"/>
      <c r="F24" s="14"/>
      <c r="G24" s="14"/>
      <c r="H24" s="14"/>
      <c r="I24" s="14"/>
      <c r="J24" s="14"/>
    </row>
  </sheetData>
  <mergeCells count="1">
    <mergeCell ref="B2:J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O2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7.125" style="30" customWidth="1"/>
    <col min="2" max="2" width="9.48438" style="30" customWidth="1"/>
    <col min="3" max="15" width="9.29688" style="30" customWidth="1"/>
    <col min="16" max="16384" width="16.3516" style="30" customWidth="1"/>
  </cols>
  <sheetData>
    <row r="1" ht="42.65" customHeight="1"/>
    <row r="2" ht="27.65" customHeight="1">
      <c r="B2" t="s" s="2">
        <v>44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32.25" customHeight="1">
      <c r="B3" t="s" s="5">
        <v>1</v>
      </c>
      <c r="C3" t="s" s="5">
        <v>45</v>
      </c>
      <c r="D3" t="s" s="5">
        <v>8</v>
      </c>
      <c r="E3" t="s" s="5">
        <v>46</v>
      </c>
      <c r="F3" t="s" s="5">
        <v>10</v>
      </c>
      <c r="G3" t="s" s="5">
        <v>11</v>
      </c>
      <c r="H3" t="s" s="5">
        <v>14</v>
      </c>
      <c r="I3" t="s" s="5">
        <v>16</v>
      </c>
      <c r="J3" t="s" s="5">
        <v>47</v>
      </c>
      <c r="K3" t="s" s="5">
        <v>44</v>
      </c>
      <c r="L3" t="s" s="5">
        <v>34</v>
      </c>
      <c r="M3" t="s" s="5">
        <v>29</v>
      </c>
      <c r="N3" t="s" s="5">
        <v>34</v>
      </c>
      <c r="O3" s="31"/>
    </row>
    <row r="4" ht="20.25" customHeight="1">
      <c r="B4" s="24">
        <v>2018</v>
      </c>
      <c r="C4" s="25">
        <v>551</v>
      </c>
      <c r="D4" s="26">
        <v>46.3</v>
      </c>
      <c r="E4" s="26">
        <v>-33.6</v>
      </c>
      <c r="F4" s="26">
        <v>-7.1</v>
      </c>
      <c r="G4" s="26">
        <v>-53.9</v>
      </c>
      <c r="H4" s="26">
        <v>0</v>
      </c>
      <c r="I4" s="26">
        <f>F4+G4+H4</f>
        <v>-61</v>
      </c>
      <c r="J4" s="26">
        <f>D4+E4+F4</f>
        <v>5.6</v>
      </c>
      <c r="K4" s="26"/>
      <c r="L4" s="8"/>
      <c r="M4" s="26">
        <f>-(G4+H4)</f>
        <v>53.9</v>
      </c>
      <c r="N4" s="8"/>
      <c r="O4" s="32">
        <v>1</v>
      </c>
    </row>
    <row r="5" ht="20.05" customHeight="1">
      <c r="B5" s="28"/>
      <c r="C5" s="13">
        <v>529</v>
      </c>
      <c r="D5" s="14">
        <v>97.7</v>
      </c>
      <c r="E5" s="14">
        <v>-24.3</v>
      </c>
      <c r="F5" s="14">
        <v>-20.7</v>
      </c>
      <c r="G5" s="14">
        <v>-25.3</v>
      </c>
      <c r="H5" s="14">
        <v>0</v>
      </c>
      <c r="I5" s="14">
        <f>F5+G5+H5</f>
        <v>-46</v>
      </c>
      <c r="J5" s="14">
        <f>D5+E5+F5</f>
        <v>52.7</v>
      </c>
      <c r="K5" s="14"/>
      <c r="L5" s="14"/>
      <c r="M5" s="14">
        <f>-(G5+H5)+M4</f>
        <v>79.2</v>
      </c>
      <c r="N5" s="14"/>
      <c r="O5" s="14">
        <f>1+O4</f>
        <v>2</v>
      </c>
    </row>
    <row r="6" ht="20.05" customHeight="1">
      <c r="B6" s="28"/>
      <c r="C6" s="13">
        <v>406.5</v>
      </c>
      <c r="D6" s="14">
        <v>-66</v>
      </c>
      <c r="E6" s="14">
        <v>-60.2</v>
      </c>
      <c r="F6" s="14">
        <v>-10.6</v>
      </c>
      <c r="G6" s="14">
        <v>120.4</v>
      </c>
      <c r="H6" s="14">
        <v>0</v>
      </c>
      <c r="I6" s="14">
        <f>F6+G6+H6</f>
        <v>109.8</v>
      </c>
      <c r="J6" s="14">
        <f>D6+E6+F6</f>
        <v>-136.8</v>
      </c>
      <c r="K6" s="14">
        <f>AVERAGE(J3:J6)</f>
        <v>-26.1666666666667</v>
      </c>
      <c r="L6" s="14"/>
      <c r="M6" s="14">
        <f>-(G6+H6)+M5</f>
        <v>-41.2</v>
      </c>
      <c r="N6" s="14"/>
      <c r="O6" s="14">
        <f>1+O5</f>
        <v>3</v>
      </c>
    </row>
    <row r="7" ht="20.05" customHeight="1">
      <c r="B7" s="28"/>
      <c r="C7" s="13">
        <v>726.5</v>
      </c>
      <c r="D7" s="14">
        <v>233.2</v>
      </c>
      <c r="E7" s="14">
        <v>-512.2</v>
      </c>
      <c r="F7" s="14">
        <v>-3.6</v>
      </c>
      <c r="G7" s="14">
        <v>259.8</v>
      </c>
      <c r="H7" s="14">
        <v>0</v>
      </c>
      <c r="I7" s="14">
        <f>F7+G7+H7</f>
        <v>256.2</v>
      </c>
      <c r="J7" s="14">
        <f>D7+E7+F7</f>
        <v>-282.6</v>
      </c>
      <c r="K7" s="14">
        <f>AVERAGE(J4:J7)</f>
        <v>-90.27500000000001</v>
      </c>
      <c r="L7" s="14"/>
      <c r="M7" s="14">
        <f>-(G7+H7)+M6</f>
        <v>-301</v>
      </c>
      <c r="N7" s="14"/>
      <c r="O7" s="14">
        <f>1+O6</f>
        <v>4</v>
      </c>
    </row>
    <row r="8" ht="20.05" customHeight="1">
      <c r="B8" s="29">
        <v>2019</v>
      </c>
      <c r="C8" s="13">
        <v>508.5</v>
      </c>
      <c r="D8" s="14">
        <v>83.09999999999999</v>
      </c>
      <c r="E8" s="14">
        <v>-206.2</v>
      </c>
      <c r="F8" s="14">
        <v>-9.5</v>
      </c>
      <c r="G8" s="14">
        <v>165.1</v>
      </c>
      <c r="H8" s="14">
        <v>0</v>
      </c>
      <c r="I8" s="14">
        <f>F8+G8+H8</f>
        <v>155.6</v>
      </c>
      <c r="J8" s="14">
        <f>D8+E8+F8</f>
        <v>-132.6</v>
      </c>
      <c r="K8" s="14">
        <f>AVERAGE(J5:J8)</f>
        <v>-124.825</v>
      </c>
      <c r="L8" s="14"/>
      <c r="M8" s="14">
        <f>-(G8+H8)+M7</f>
        <v>-466.1</v>
      </c>
      <c r="N8" s="14"/>
      <c r="O8" s="14">
        <f>1+O7</f>
        <v>5</v>
      </c>
    </row>
    <row r="9" ht="20.05" customHeight="1">
      <c r="B9" s="28"/>
      <c r="C9" s="13">
        <v>660.9</v>
      </c>
      <c r="D9" s="14">
        <v>11.6</v>
      </c>
      <c r="E9" s="14">
        <v>-98.09999999999999</v>
      </c>
      <c r="F9" s="14">
        <v>-10.1</v>
      </c>
      <c r="G9" s="14">
        <v>63.3</v>
      </c>
      <c r="H9" s="14">
        <v>0</v>
      </c>
      <c r="I9" s="14">
        <f>F9+G9+H9</f>
        <v>53.2</v>
      </c>
      <c r="J9" s="14">
        <f>D9+E9+F9</f>
        <v>-96.59999999999999</v>
      </c>
      <c r="K9" s="14">
        <f>AVERAGE(J6:J9)</f>
        <v>-162.15</v>
      </c>
      <c r="L9" s="14"/>
      <c r="M9" s="14">
        <f>-(G9+H9)+M8</f>
        <v>-529.4</v>
      </c>
      <c r="N9" s="14"/>
      <c r="O9" s="14">
        <f>1+O8</f>
        <v>6</v>
      </c>
    </row>
    <row r="10" ht="20.05" customHeight="1">
      <c r="B10" s="28"/>
      <c r="C10" s="13">
        <v>542.6</v>
      </c>
      <c r="D10" s="14">
        <v>112.4</v>
      </c>
      <c r="E10" s="14">
        <v>-28.7</v>
      </c>
      <c r="F10" s="14">
        <v>-17.6</v>
      </c>
      <c r="G10" s="14">
        <v>-56.9</v>
      </c>
      <c r="H10" s="14">
        <v>-10</v>
      </c>
      <c r="I10" s="14">
        <f>F10+G10+H10</f>
        <v>-84.5</v>
      </c>
      <c r="J10" s="14">
        <f>D10+E10+F10</f>
        <v>66.09999999999999</v>
      </c>
      <c r="K10" s="14">
        <f>AVERAGE(J7:J10)</f>
        <v>-111.425</v>
      </c>
      <c r="L10" s="14"/>
      <c r="M10" s="14">
        <f>-(G10+H10)+M9</f>
        <v>-462.5</v>
      </c>
      <c r="N10" s="14"/>
      <c r="O10" s="14">
        <f>1+O9</f>
        <v>7</v>
      </c>
    </row>
    <row r="11" ht="20.05" customHeight="1">
      <c r="B11" s="28"/>
      <c r="C11" s="13">
        <v>676</v>
      </c>
      <c r="D11" s="14">
        <v>204.7</v>
      </c>
      <c r="E11" s="14">
        <v>-104.4</v>
      </c>
      <c r="F11" s="14">
        <v>-18.8</v>
      </c>
      <c r="G11" s="14">
        <v>-84.8</v>
      </c>
      <c r="H11" s="14">
        <v>-0.1</v>
      </c>
      <c r="I11" s="14">
        <f>F11+G11+H11</f>
        <v>-103.7</v>
      </c>
      <c r="J11" s="14">
        <f>D11+E11+F11</f>
        <v>81.5</v>
      </c>
      <c r="K11" s="14">
        <f>AVERAGE(J8:J11)</f>
        <v>-20.4</v>
      </c>
      <c r="L11" s="14"/>
      <c r="M11" s="14">
        <f>-(G11+H11)+M10</f>
        <v>-377.6</v>
      </c>
      <c r="N11" s="14"/>
      <c r="O11" s="14">
        <f>1+O10</f>
        <v>8</v>
      </c>
    </row>
    <row r="12" ht="20.05" customHeight="1">
      <c r="B12" s="29">
        <v>2020</v>
      </c>
      <c r="C12" s="13">
        <v>5785</v>
      </c>
      <c r="D12" s="14">
        <v>37.8</v>
      </c>
      <c r="E12" s="14">
        <v>-66.8</v>
      </c>
      <c r="F12" s="14">
        <v>-13.2</v>
      </c>
      <c r="G12" s="14">
        <v>192.2</v>
      </c>
      <c r="H12" s="14">
        <v>0</v>
      </c>
      <c r="I12" s="14">
        <f>F12+G12+H12</f>
        <v>179</v>
      </c>
      <c r="J12" s="14">
        <f>D12+E12+F12</f>
        <v>-42.2</v>
      </c>
      <c r="K12" s="14">
        <f>AVERAGE(J9:J12)</f>
        <v>2.2</v>
      </c>
      <c r="L12" s="14"/>
      <c r="M12" s="14">
        <f>-(G12+H12)+M11</f>
        <v>-569.8</v>
      </c>
      <c r="N12" s="14"/>
      <c r="O12" s="14">
        <f>1+O11</f>
        <v>9</v>
      </c>
    </row>
    <row r="13" ht="20.05" customHeight="1">
      <c r="B13" s="28"/>
      <c r="C13" s="13">
        <v>-4651</v>
      </c>
      <c r="D13" s="14">
        <v>30.9</v>
      </c>
      <c r="E13" s="14">
        <v>-27</v>
      </c>
      <c r="F13" s="14">
        <v>-13.2</v>
      </c>
      <c r="G13" s="14">
        <v>-8.699999999999999</v>
      </c>
      <c r="H13" s="14">
        <v>-9.4</v>
      </c>
      <c r="I13" s="14">
        <f>F13+G13+H13</f>
        <v>-31.3</v>
      </c>
      <c r="J13" s="14">
        <f>D13+E13+F13</f>
        <v>-9.300000000000001</v>
      </c>
      <c r="K13" s="14">
        <f>AVERAGE(J10:J13)</f>
        <v>24.025</v>
      </c>
      <c r="L13" s="14"/>
      <c r="M13" s="14">
        <f>-(G13+H13)+M12</f>
        <v>-551.7</v>
      </c>
      <c r="N13" s="14"/>
      <c r="O13" s="14">
        <f>1+O12</f>
        <v>10</v>
      </c>
    </row>
    <row r="14" ht="20.05" customHeight="1">
      <c r="B14" s="28"/>
      <c r="C14" s="13">
        <v>598.6</v>
      </c>
      <c r="D14" s="14">
        <v>156.3</v>
      </c>
      <c r="E14" s="14">
        <v>-129.4</v>
      </c>
      <c r="F14" s="14">
        <v>-13.9</v>
      </c>
      <c r="G14" s="14">
        <v>-21</v>
      </c>
      <c r="H14" s="14">
        <v>0</v>
      </c>
      <c r="I14" s="14">
        <f>F14+G14+H14</f>
        <v>-34.9</v>
      </c>
      <c r="J14" s="14">
        <f>D14+E14+F14</f>
        <v>13</v>
      </c>
      <c r="K14" s="14">
        <f>AVERAGE(J11:J14)</f>
        <v>10.75</v>
      </c>
      <c r="L14" s="14"/>
      <c r="M14" s="14">
        <f>-(G14+H14)+M13</f>
        <v>-530.7</v>
      </c>
      <c r="N14" s="14"/>
      <c r="O14" s="14">
        <f>1+O13</f>
        <v>11</v>
      </c>
    </row>
    <row r="15" ht="20.05" customHeight="1">
      <c r="B15" s="28"/>
      <c r="C15" s="13">
        <v>622.2</v>
      </c>
      <c r="D15" s="14">
        <v>139.3</v>
      </c>
      <c r="E15" s="14">
        <v>-54.9</v>
      </c>
      <c r="F15" s="14">
        <v>-16.3</v>
      </c>
      <c r="G15" s="14">
        <v>-57</v>
      </c>
      <c r="H15" s="14">
        <v>0</v>
      </c>
      <c r="I15" s="14">
        <f>F15+G15+H15</f>
        <v>-73.3</v>
      </c>
      <c r="J15" s="14">
        <f>D15+E15+F15</f>
        <v>68.09999999999999</v>
      </c>
      <c r="K15" s="14">
        <f>AVERAGE(J12:J15)</f>
        <v>7.4</v>
      </c>
      <c r="L15" s="14"/>
      <c r="M15" s="14">
        <f>-(G15+H15)+M14</f>
        <v>-473.7</v>
      </c>
      <c r="N15" s="14"/>
      <c r="O15" s="14">
        <f>1+O14</f>
        <v>12</v>
      </c>
    </row>
    <row r="16" ht="20.05" customHeight="1">
      <c r="B16" s="29">
        <v>2021</v>
      </c>
      <c r="C16" s="13">
        <v>646.6</v>
      </c>
      <c r="D16" s="14">
        <v>166.2</v>
      </c>
      <c r="E16" s="14">
        <v>-585.5</v>
      </c>
      <c r="F16" s="14">
        <v>-17.6</v>
      </c>
      <c r="G16" s="14">
        <v>426.6</v>
      </c>
      <c r="H16" s="14">
        <v>0</v>
      </c>
      <c r="I16" s="14">
        <f>F16+G16+H16</f>
        <v>409</v>
      </c>
      <c r="J16" s="14">
        <f>D16+E16+F16</f>
        <v>-436.9</v>
      </c>
      <c r="K16" s="14">
        <f>AVERAGE(J13:J16)</f>
        <v>-91.27500000000001</v>
      </c>
      <c r="L16" s="14"/>
      <c r="M16" s="14">
        <f>-(G16+H16)+M15</f>
        <v>-900.3</v>
      </c>
      <c r="N16" s="14"/>
      <c r="O16" s="14">
        <f>1+O15</f>
        <v>13</v>
      </c>
    </row>
    <row r="17" ht="20.05" customHeight="1">
      <c r="B17" s="28"/>
      <c r="C17" s="13">
        <v>684</v>
      </c>
      <c r="D17" s="14">
        <v>126.9</v>
      </c>
      <c r="E17" s="14">
        <v>-64.40000000000001</v>
      </c>
      <c r="F17" s="14">
        <v>-15</v>
      </c>
      <c r="G17" s="14">
        <v>-40.3</v>
      </c>
      <c r="H17" s="14">
        <v>-0.8</v>
      </c>
      <c r="I17" s="14">
        <f>F17+G17+H17</f>
        <v>-56.1</v>
      </c>
      <c r="J17" s="14">
        <f>D17+E17+F17</f>
        <v>47.5</v>
      </c>
      <c r="K17" s="14">
        <f>AVERAGE(J14:J17)</f>
        <v>-77.075</v>
      </c>
      <c r="L17" s="14"/>
      <c r="M17" s="14">
        <f>-(G17+H17)+M16</f>
        <v>-859.2</v>
      </c>
      <c r="N17" s="14"/>
      <c r="O17" s="14">
        <f>1+O16</f>
        <v>14</v>
      </c>
    </row>
    <row r="18" ht="20.05" customHeight="1">
      <c r="B18" s="28"/>
      <c r="C18" s="13">
        <f>2132-SUM(C16:C17)</f>
        <v>801.4</v>
      </c>
      <c r="D18" s="14">
        <f>398.9-SUM(D16:D17)</f>
        <v>105.8</v>
      </c>
      <c r="E18" s="14">
        <f>-720.4-SUM(E16:E17)</f>
        <v>-70.5</v>
      </c>
      <c r="F18" s="14">
        <f>-48.1-SUM(F16:F17)</f>
        <v>-15.5</v>
      </c>
      <c r="G18" s="14">
        <f>54.7+325.9+477.8-3.6-161.6-0.7-SUM(G16:G17)</f>
        <v>306.2</v>
      </c>
      <c r="H18" s="14">
        <f>-3-9.6-4.2-SUM(H16:H17)</f>
        <v>-16</v>
      </c>
      <c r="I18" s="14">
        <f>F18+G18+H18</f>
        <v>274.7</v>
      </c>
      <c r="J18" s="14">
        <f>D18+E18+F18</f>
        <v>19.8</v>
      </c>
      <c r="K18" s="14">
        <f>AVERAGE(J15:J18)</f>
        <v>-75.375</v>
      </c>
      <c r="L18" s="14"/>
      <c r="M18" s="14">
        <f>-(G18+H18)+M17</f>
        <v>-1149.4</v>
      </c>
      <c r="N18" s="14"/>
      <c r="O18" s="14">
        <f>1+O17</f>
        <v>15</v>
      </c>
    </row>
    <row r="19" ht="20.05" customHeight="1">
      <c r="B19" s="28"/>
      <c r="C19" s="13">
        <f>2927.6-SUM(C16:C18)</f>
        <v>795.6</v>
      </c>
      <c r="D19" s="14">
        <f>605.9-SUM(D16:D18)</f>
        <v>207</v>
      </c>
      <c r="E19" s="14">
        <f>-772.4-SUM(E16:E18)</f>
        <v>-52</v>
      </c>
      <c r="F19" s="14">
        <f>-66.3-SUM(F16:F18)</f>
        <v>-18.2</v>
      </c>
      <c r="G19" s="14">
        <f>570.4-SUM(F16:H18)-H19-F19</f>
        <v>-39.9</v>
      </c>
      <c r="H19" s="14">
        <f>-9.6-6.3-SUM(H16:H18)</f>
        <v>0.9</v>
      </c>
      <c r="I19" s="14">
        <f>F19+G19+H19</f>
        <v>-57.2</v>
      </c>
      <c r="J19" s="14">
        <f>D19+E19+F19</f>
        <v>136.8</v>
      </c>
      <c r="K19" s="14">
        <f>AVERAGE(J16:J19)</f>
        <v>-58.2</v>
      </c>
      <c r="L19" s="14"/>
      <c r="M19" s="14">
        <f>-(G19+H19)+M18</f>
        <v>-1110.4</v>
      </c>
      <c r="N19" s="14"/>
      <c r="O19" s="14">
        <f>1+O18</f>
        <v>16</v>
      </c>
    </row>
    <row r="20" ht="20.05" customHeight="1">
      <c r="B20" s="29">
        <v>2022</v>
      </c>
      <c r="C20" s="13">
        <v>668.5</v>
      </c>
      <c r="D20" s="14">
        <v>60.6</v>
      </c>
      <c r="E20" s="14">
        <v>-83.40000000000001</v>
      </c>
      <c r="F20" s="14">
        <v>-16.7</v>
      </c>
      <c r="G20" s="14">
        <f>-270.3-H20-F20</f>
        <v>-253.1</v>
      </c>
      <c r="H20" s="14">
        <v>-0.5</v>
      </c>
      <c r="I20" s="14">
        <f>F20+G20+H20</f>
        <v>-270.3</v>
      </c>
      <c r="J20" s="14">
        <f>D20+E20+F20</f>
        <v>-39.5</v>
      </c>
      <c r="K20" s="14">
        <f>AVERAGE(J17:J20)</f>
        <v>41.15</v>
      </c>
      <c r="L20" s="14">
        <v>95.559698502610</v>
      </c>
      <c r="M20" s="14">
        <f>-(G20+H20)+M19</f>
        <v>-856.8</v>
      </c>
      <c r="N20" s="14">
        <v>-988.002871310120</v>
      </c>
      <c r="O20" s="14">
        <f>1+O19</f>
        <v>17</v>
      </c>
    </row>
    <row r="21" ht="20.05" customHeight="1">
      <c r="B21" s="28"/>
      <c r="C21" s="13"/>
      <c r="D21" s="14"/>
      <c r="E21" s="14"/>
      <c r="F21" s="14"/>
      <c r="G21" s="14"/>
      <c r="H21" s="14"/>
      <c r="I21" s="14"/>
      <c r="J21" s="14"/>
      <c r="K21" s="18"/>
      <c r="L21" s="14">
        <f>'Model'!E8+'Model'!E9+'Model'!E10</f>
        <v>75.573354486623</v>
      </c>
      <c r="M21" s="18"/>
      <c r="N21" s="14">
        <f>'Model'!E33</f>
        <v>-505.439651870963</v>
      </c>
      <c r="O21" s="14"/>
    </row>
  </sheetData>
  <mergeCells count="1">
    <mergeCell ref="B2:O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2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7.125" style="33" customWidth="1"/>
    <col min="2" max="2" width="10.7969" style="33" customWidth="1"/>
    <col min="3" max="11" width="10.5469" style="33" customWidth="1"/>
    <col min="12" max="16384" width="16.3516" style="33" customWidth="1"/>
  </cols>
  <sheetData>
    <row r="1" ht="42.65" customHeight="1"/>
    <row r="2" ht="27.65" customHeight="1">
      <c r="B2" t="s" s="2">
        <v>48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49</v>
      </c>
      <c r="D3" t="s" s="5">
        <v>50</v>
      </c>
      <c r="E3" t="s" s="5">
        <v>51</v>
      </c>
      <c r="F3" t="s" s="5">
        <v>24</v>
      </c>
      <c r="G3" t="s" s="5">
        <v>11</v>
      </c>
      <c r="H3" t="s" s="5">
        <v>14</v>
      </c>
      <c r="I3" t="s" s="5">
        <v>26</v>
      </c>
      <c r="J3" t="s" s="5">
        <v>27</v>
      </c>
      <c r="K3" t="s" s="5">
        <v>34</v>
      </c>
    </row>
    <row r="4" ht="20.25" customHeight="1">
      <c r="B4" s="24">
        <v>2018</v>
      </c>
      <c r="C4" s="25">
        <v>296</v>
      </c>
      <c r="D4" s="26">
        <v>6483</v>
      </c>
      <c r="E4" s="26">
        <f>D4-C4</f>
        <v>6187</v>
      </c>
      <c r="F4" s="26"/>
      <c r="G4" s="26">
        <v>3094</v>
      </c>
      <c r="H4" s="26">
        <v>3389</v>
      </c>
      <c r="I4" s="26">
        <f>G4+H4-D4</f>
        <v>0</v>
      </c>
      <c r="J4" s="26">
        <f>C4-G4</f>
        <v>-2798</v>
      </c>
      <c r="K4" s="26"/>
    </row>
    <row r="5" ht="20.05" customHeight="1">
      <c r="B5" s="28"/>
      <c r="C5" s="13">
        <v>323</v>
      </c>
      <c r="D5" s="14">
        <v>6559</v>
      </c>
      <c r="E5" s="14">
        <f>D5-C5</f>
        <v>6236</v>
      </c>
      <c r="F5" s="14"/>
      <c r="G5" s="14">
        <v>3152</v>
      </c>
      <c r="H5" s="14">
        <v>3407</v>
      </c>
      <c r="I5" s="14">
        <f>G5+H5-D5</f>
        <v>0</v>
      </c>
      <c r="J5" s="14">
        <f>C5-G5</f>
        <v>-2829</v>
      </c>
      <c r="K5" s="14"/>
    </row>
    <row r="6" ht="20.05" customHeight="1">
      <c r="B6" s="28"/>
      <c r="C6" s="13">
        <v>307.1</v>
      </c>
      <c r="D6" s="14">
        <v>6860.8</v>
      </c>
      <c r="E6" s="14">
        <f>D6-C6</f>
        <v>6553.7</v>
      </c>
      <c r="F6" s="14"/>
      <c r="G6" s="14">
        <v>3418</v>
      </c>
      <c r="H6" s="14">
        <v>3442.5</v>
      </c>
      <c r="I6" s="14">
        <f>G6+H6-D6</f>
        <v>-0.3</v>
      </c>
      <c r="J6" s="14">
        <f>C6-G6</f>
        <v>-3110.9</v>
      </c>
      <c r="K6" s="14"/>
    </row>
    <row r="7" ht="20.05" customHeight="1">
      <c r="B7" s="28"/>
      <c r="C7" s="13">
        <v>284.5</v>
      </c>
      <c r="D7" s="14">
        <v>6647.8</v>
      </c>
      <c r="E7" s="14">
        <f>D7-C7</f>
        <v>6363.3</v>
      </c>
      <c r="F7" s="14"/>
      <c r="G7" s="14">
        <v>3500</v>
      </c>
      <c r="H7" s="14">
        <v>3147.8</v>
      </c>
      <c r="I7" s="14">
        <f>G7+H7-D7</f>
        <v>0</v>
      </c>
      <c r="J7" s="14">
        <f>C7-G7</f>
        <v>-3215.5</v>
      </c>
      <c r="K7" s="14"/>
    </row>
    <row r="8" ht="20.05" customHeight="1">
      <c r="B8" s="29">
        <v>2019</v>
      </c>
      <c r="C8" s="13">
        <v>317</v>
      </c>
      <c r="D8" s="14">
        <v>6873.7</v>
      </c>
      <c r="E8" s="14">
        <f>D8-C8</f>
        <v>6556.7</v>
      </c>
      <c r="F8" s="14"/>
      <c r="G8" s="14">
        <v>3694.9</v>
      </c>
      <c r="H8" s="14">
        <v>3178.8</v>
      </c>
      <c r="I8" s="14">
        <f>G8+H8-D8</f>
        <v>0</v>
      </c>
      <c r="J8" s="14">
        <f>C8-G8</f>
        <v>-3377.9</v>
      </c>
      <c r="K8" s="14"/>
    </row>
    <row r="9" ht="20.05" customHeight="1">
      <c r="B9" s="28"/>
      <c r="C9" s="13">
        <v>283.6</v>
      </c>
      <c r="D9" s="14">
        <v>6861</v>
      </c>
      <c r="E9" s="14">
        <f>D9-C9</f>
        <v>6577.4</v>
      </c>
      <c r="F9" s="14"/>
      <c r="G9" s="14">
        <v>3678</v>
      </c>
      <c r="H9" s="14">
        <v>3183.5</v>
      </c>
      <c r="I9" s="14">
        <f>G9+H9-D9</f>
        <v>0.5</v>
      </c>
      <c r="J9" s="14">
        <f>C9-G9</f>
        <v>-3394.4</v>
      </c>
      <c r="K9" s="14"/>
    </row>
    <row r="10" ht="20.05" customHeight="1">
      <c r="B10" s="28"/>
      <c r="C10" s="13">
        <v>282.8</v>
      </c>
      <c r="D10" s="14">
        <v>6923.8</v>
      </c>
      <c r="E10" s="14">
        <f>D10-C10</f>
        <v>6641</v>
      </c>
      <c r="F10" s="14"/>
      <c r="G10" s="14">
        <v>3710</v>
      </c>
      <c r="H10" s="14">
        <v>3213.9</v>
      </c>
      <c r="I10" s="14">
        <f>G10+H10-D10</f>
        <v>0.1</v>
      </c>
      <c r="J10" s="14">
        <f>C10-G10</f>
        <v>-3427.2</v>
      </c>
      <c r="K10" s="14"/>
    </row>
    <row r="11" ht="20.05" customHeight="1">
      <c r="B11" s="28"/>
      <c r="C11" s="13">
        <v>279.5</v>
      </c>
      <c r="D11" s="14">
        <v>7021</v>
      </c>
      <c r="E11" s="14">
        <f>D11-C11</f>
        <v>6741.5</v>
      </c>
      <c r="F11" s="14"/>
      <c r="G11" s="14">
        <v>3721.4</v>
      </c>
      <c r="H11" s="14">
        <v>3299.6</v>
      </c>
      <c r="I11" s="14">
        <f>G11+H11-D11</f>
        <v>0</v>
      </c>
      <c r="J11" s="14">
        <f>C11-G11</f>
        <v>-3441.9</v>
      </c>
      <c r="K11" s="14"/>
    </row>
    <row r="12" ht="20.05" customHeight="1">
      <c r="B12" s="29">
        <v>2020</v>
      </c>
      <c r="C12" s="13">
        <v>429.7</v>
      </c>
      <c r="D12" s="14">
        <v>7189</v>
      </c>
      <c r="E12" s="14">
        <f>D12-C12</f>
        <v>6759.3</v>
      </c>
      <c r="F12" s="14"/>
      <c r="G12" s="14">
        <v>3869.2</v>
      </c>
      <c r="H12" s="14">
        <v>3319.9</v>
      </c>
      <c r="I12" s="14">
        <f>G12+H12-D12</f>
        <v>0.1</v>
      </c>
      <c r="J12" s="14">
        <f>C12-G12</f>
        <v>-3439.5</v>
      </c>
      <c r="K12" s="14"/>
    </row>
    <row r="13" ht="20.05" customHeight="1">
      <c r="B13" s="28"/>
      <c r="C13" s="13">
        <v>402.1</v>
      </c>
      <c r="D13" s="14">
        <v>7121.3</v>
      </c>
      <c r="E13" s="14">
        <f>D13-C13</f>
        <v>6719.2</v>
      </c>
      <c r="F13" s="14"/>
      <c r="G13" s="14">
        <v>3813</v>
      </c>
      <c r="H13" s="14">
        <v>3308.3</v>
      </c>
      <c r="I13" s="14">
        <f>G13+H13-D13</f>
        <v>0</v>
      </c>
      <c r="J13" s="14">
        <f>C13-G13</f>
        <v>-3410.9</v>
      </c>
      <c r="K13" s="14"/>
    </row>
    <row r="14" ht="20.05" customHeight="1">
      <c r="B14" s="28"/>
      <c r="C14" s="13">
        <v>394.1</v>
      </c>
      <c r="D14" s="14">
        <v>7118.1</v>
      </c>
      <c r="E14" s="14">
        <f>D14-C14</f>
        <v>6724</v>
      </c>
      <c r="F14" s="14"/>
      <c r="G14" s="14">
        <v>3795.8</v>
      </c>
      <c r="H14" s="14">
        <v>3322.3</v>
      </c>
      <c r="I14" s="14">
        <f>G14+H14-D14</f>
        <v>0</v>
      </c>
      <c r="J14" s="14">
        <f>C14-G14</f>
        <v>-3401.7</v>
      </c>
      <c r="K14" s="14"/>
    </row>
    <row r="15" ht="20.05" customHeight="1">
      <c r="B15" s="28"/>
      <c r="C15" s="13">
        <v>405.2</v>
      </c>
      <c r="D15" s="14">
        <v>7121.5</v>
      </c>
      <c r="E15" s="14">
        <f>D15-C15</f>
        <v>6716.3</v>
      </c>
      <c r="F15" s="14">
        <f>1865+48</f>
        <v>1913</v>
      </c>
      <c r="G15" s="14">
        <v>3739.3</v>
      </c>
      <c r="H15" s="14">
        <v>3382.1</v>
      </c>
      <c r="I15" s="14">
        <f>G15+H15-D15</f>
        <v>-0.1</v>
      </c>
      <c r="J15" s="14">
        <f>C15-G15</f>
        <v>-3334.1</v>
      </c>
      <c r="K15" s="14"/>
    </row>
    <row r="16" ht="20.05" customHeight="1">
      <c r="B16" s="29">
        <v>2021</v>
      </c>
      <c r="C16" s="13">
        <v>395.3</v>
      </c>
      <c r="D16" s="14">
        <v>7702</v>
      </c>
      <c r="E16" s="14">
        <f>D16-C16</f>
        <v>7306.7</v>
      </c>
      <c r="F16" s="14">
        <f>1939+55</f>
        <v>1994</v>
      </c>
      <c r="G16" s="14">
        <v>4268</v>
      </c>
      <c r="H16" s="14">
        <v>3433.6</v>
      </c>
      <c r="I16" s="14">
        <f>G16+H16-D16</f>
        <v>-0.4</v>
      </c>
      <c r="J16" s="14">
        <f>C16-G16</f>
        <v>-3872.7</v>
      </c>
      <c r="K16" s="14"/>
    </row>
    <row r="17" ht="20.05" customHeight="1">
      <c r="B17" s="28"/>
      <c r="C17" s="13">
        <v>401.2</v>
      </c>
      <c r="D17" s="14">
        <v>7718.4</v>
      </c>
      <c r="E17" s="14">
        <f>D17-C17</f>
        <v>7317.2</v>
      </c>
      <c r="F17" s="14">
        <f>2018+66</f>
        <v>2084</v>
      </c>
      <c r="G17" s="14">
        <v>4237.4</v>
      </c>
      <c r="H17" s="14">
        <v>3481</v>
      </c>
      <c r="I17" s="14">
        <f>G17+H17-D17</f>
        <v>0</v>
      </c>
      <c r="J17" s="14">
        <f>C17-G17</f>
        <v>-3836.2</v>
      </c>
      <c r="K17" s="14"/>
    </row>
    <row r="18" ht="20.05" customHeight="1">
      <c r="B18" s="28"/>
      <c r="C18" s="13">
        <v>711</v>
      </c>
      <c r="D18" s="14">
        <v>8050</v>
      </c>
      <c r="E18" s="14">
        <f>D18-C18</f>
        <v>7339</v>
      </c>
      <c r="F18" s="14">
        <f>2098+76</f>
        <v>2174</v>
      </c>
      <c r="G18" s="14">
        <v>4499</v>
      </c>
      <c r="H18" s="14">
        <v>3551</v>
      </c>
      <c r="I18" s="14">
        <f>G18+H18-D18</f>
        <v>0</v>
      </c>
      <c r="J18" s="14">
        <f>C18-G18</f>
        <v>-3788</v>
      </c>
      <c r="K18" s="14"/>
    </row>
    <row r="19" ht="20.05" customHeight="1">
      <c r="B19" s="28"/>
      <c r="C19" s="13">
        <v>809</v>
      </c>
      <c r="D19" s="14">
        <v>8165</v>
      </c>
      <c r="E19" s="14">
        <f>D19-C19</f>
        <v>7356</v>
      </c>
      <c r="F19" s="14">
        <f>2178+84</f>
        <v>2262</v>
      </c>
      <c r="G19" s="14">
        <v>4582</v>
      </c>
      <c r="H19" s="14">
        <v>3583</v>
      </c>
      <c r="I19" s="14">
        <f>G19+H19-D19</f>
        <v>0</v>
      </c>
      <c r="J19" s="14">
        <f>C19-G19</f>
        <v>-3773</v>
      </c>
      <c r="K19" s="14"/>
    </row>
    <row r="20" ht="20.05" customHeight="1">
      <c r="B20" s="29">
        <v>2022</v>
      </c>
      <c r="C20" s="13">
        <v>516</v>
      </c>
      <c r="D20" s="14">
        <v>7951</v>
      </c>
      <c r="E20" s="14">
        <f>D20-C20</f>
        <v>7435</v>
      </c>
      <c r="F20" s="14">
        <f>2259+91</f>
        <v>2350</v>
      </c>
      <c r="G20" s="14">
        <v>4322</v>
      </c>
      <c r="H20" s="14">
        <v>3629</v>
      </c>
      <c r="I20" s="14">
        <f>G20+H20-D20</f>
        <v>0</v>
      </c>
      <c r="J20" s="14">
        <f>C20-G20</f>
        <v>-3806</v>
      </c>
      <c r="K20" s="14">
        <v>-3416.8525841791</v>
      </c>
    </row>
    <row r="21" ht="20.05" customHeight="1">
      <c r="B21" s="28"/>
      <c r="C21" s="13"/>
      <c r="D21" s="14"/>
      <c r="E21" s="14"/>
      <c r="F21" s="14"/>
      <c r="G21" s="14"/>
      <c r="H21" s="14"/>
      <c r="I21" s="14"/>
      <c r="J21" s="18"/>
      <c r="K21" s="14">
        <f>'Model'!E31</f>
        <v>-3454.639651870960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24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7.125" style="34" customWidth="1"/>
    <col min="2" max="2" width="9.48438" style="34" customWidth="1"/>
    <col min="3" max="5" width="9.29688" style="34" customWidth="1"/>
    <col min="6" max="16384" width="16.3516" style="34" customWidth="1"/>
  </cols>
  <sheetData>
    <row r="1" ht="42.65" customHeight="1"/>
    <row r="2" ht="27.65" customHeight="1">
      <c r="B2" t="s" s="2">
        <v>48</v>
      </c>
      <c r="C2" s="2"/>
      <c r="D2" s="2"/>
      <c r="E2" s="2"/>
    </row>
    <row r="3" ht="32.25" customHeight="1">
      <c r="B3" t="s" s="5">
        <v>1</v>
      </c>
      <c r="C3" t="s" s="5">
        <v>52</v>
      </c>
      <c r="D3" t="s" s="5">
        <v>53</v>
      </c>
      <c r="E3" t="s" s="5">
        <v>54</v>
      </c>
    </row>
    <row r="4" ht="20.25" customHeight="1">
      <c r="B4" s="24">
        <v>2018</v>
      </c>
      <c r="C4" s="25">
        <v>780</v>
      </c>
      <c r="D4" s="26"/>
      <c r="E4" s="8"/>
    </row>
    <row r="5" ht="20.05" customHeight="1">
      <c r="B5" s="28"/>
      <c r="C5" s="13">
        <v>590</v>
      </c>
      <c r="D5" s="14"/>
      <c r="E5" s="14"/>
    </row>
    <row r="6" ht="20.05" customHeight="1">
      <c r="B6" s="28"/>
      <c r="C6" s="13">
        <v>620</v>
      </c>
      <c r="D6" s="14"/>
      <c r="E6" s="14"/>
    </row>
    <row r="7" ht="20.05" customHeight="1">
      <c r="B7" s="28"/>
      <c r="C7" s="13">
        <v>680</v>
      </c>
      <c r="D7" s="14"/>
      <c r="E7" s="14"/>
    </row>
    <row r="8" ht="20.05" customHeight="1">
      <c r="B8" s="29">
        <v>2019</v>
      </c>
      <c r="C8" s="13">
        <v>540</v>
      </c>
      <c r="D8" s="14"/>
      <c r="E8" s="14"/>
    </row>
    <row r="9" ht="20.05" customHeight="1">
      <c r="B9" s="28"/>
      <c r="C9" s="13">
        <v>580</v>
      </c>
      <c r="D9" s="14"/>
      <c r="E9" s="14"/>
    </row>
    <row r="10" ht="20.05" customHeight="1">
      <c r="B10" s="28"/>
      <c r="C10" s="13">
        <v>620</v>
      </c>
      <c r="D10" s="14"/>
      <c r="E10" s="18"/>
    </row>
    <row r="11" ht="20.05" customHeight="1">
      <c r="B11" s="28"/>
      <c r="C11" s="13">
        <v>645</v>
      </c>
      <c r="D11" s="14"/>
      <c r="E11" s="14"/>
    </row>
    <row r="12" ht="20.05" customHeight="1">
      <c r="B12" s="29">
        <v>2020</v>
      </c>
      <c r="C12" s="13">
        <v>402</v>
      </c>
      <c r="D12" s="14"/>
      <c r="E12" s="14"/>
    </row>
    <row r="13" ht="20.05" customHeight="1">
      <c r="B13" s="28"/>
      <c r="C13" s="13">
        <v>530</v>
      </c>
      <c r="D13" s="14"/>
      <c r="E13" s="14"/>
    </row>
    <row r="14" ht="20.05" customHeight="1">
      <c r="B14" s="28"/>
      <c r="C14" s="13">
        <v>510</v>
      </c>
      <c r="D14" s="14"/>
      <c r="E14" s="14"/>
    </row>
    <row r="15" ht="20.05" customHeight="1">
      <c r="B15" s="28"/>
      <c r="C15" s="13">
        <v>865</v>
      </c>
      <c r="D15" s="14"/>
      <c r="E15" s="14"/>
    </row>
    <row r="16" ht="20.05" customHeight="1">
      <c r="B16" s="29">
        <v>2021</v>
      </c>
      <c r="C16" s="13">
        <v>1070</v>
      </c>
      <c r="D16" s="14"/>
      <c r="E16" s="14"/>
    </row>
    <row r="17" ht="20.05" customHeight="1">
      <c r="B17" s="28"/>
      <c r="C17" s="13">
        <v>1335</v>
      </c>
      <c r="D17" s="14"/>
      <c r="E17" s="14"/>
    </row>
    <row r="18" ht="20.05" customHeight="1">
      <c r="B18" s="28"/>
      <c r="C18" s="13">
        <v>1600</v>
      </c>
      <c r="D18" s="14"/>
      <c r="E18" s="14"/>
    </row>
    <row r="19" ht="20.05" customHeight="1">
      <c r="B19" s="28"/>
      <c r="C19" s="13">
        <v>1515</v>
      </c>
      <c r="D19" s="14">
        <v>1459.656132597190</v>
      </c>
      <c r="E19" s="18"/>
    </row>
    <row r="20" ht="20.05" customHeight="1">
      <c r="B20" s="29">
        <v>2022</v>
      </c>
      <c r="C20" s="13">
        <v>1605</v>
      </c>
      <c r="D20" s="14">
        <v>2466.315534388350</v>
      </c>
      <c r="E20" s="18"/>
    </row>
    <row r="21" ht="20.05" customHeight="1">
      <c r="B21" s="28"/>
      <c r="C21" s="13">
        <v>1975</v>
      </c>
      <c r="D21" s="14">
        <v>1988.152318537540</v>
      </c>
      <c r="E21" s="14"/>
    </row>
    <row r="22" ht="20.05" customHeight="1">
      <c r="B22" s="28"/>
      <c r="C22" s="13"/>
      <c r="D22" s="14">
        <f>'Model'!E44</f>
        <v>2077.921384066940</v>
      </c>
      <c r="E22" s="18"/>
    </row>
    <row r="23" ht="20.05" customHeight="1">
      <c r="B23" s="28"/>
      <c r="C23" s="13"/>
      <c r="D23" s="14"/>
      <c r="E23" s="14"/>
    </row>
    <row r="24" ht="20.05" customHeight="1">
      <c r="B24" s="29">
        <v>2023</v>
      </c>
      <c r="C24" s="13"/>
      <c r="D24" s="14"/>
      <c r="E24" s="14"/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