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<sst xmlns="http://schemas.openxmlformats.org/spreadsheetml/2006/main" uniqueCount="62">
  <si>
    <t>Financial model</t>
  </si>
  <si>
    <t>$m</t>
  </si>
  <si>
    <t>4Q 2022</t>
  </si>
  <si>
    <t>Cashflow</t>
  </si>
  <si>
    <t>Growth</t>
  </si>
  <si>
    <t>Sales</t>
  </si>
  <si>
    <t>Cost ratio</t>
  </si>
  <si>
    <t xml:space="preserve">Cash costs </t>
  </si>
  <si>
    <t>Operating</t>
  </si>
  <si>
    <t>Investment</t>
  </si>
  <si>
    <t>Leases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</si>
  <si>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</si>
  <si>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</si>
  <si>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</si>
  <si>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</si>
  <si>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</si>
  <si>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</si>
  <si>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</si>
  <si>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</si>
  <si>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</si>
  <si>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</si>
  <si>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</si>
  <si>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</si>
  <si>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</si>
  <si>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</si>
  <si>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LT assets</t>
  </si>
  <si>
    <t xml:space="preserve">Equity 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</si>
  <si>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</si>
  <si>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</si>
  <si>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</si>
  <si>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</si>
  <si>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</si>
  <si>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</si>
  <si>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</si>
  <si>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</si>
  <si>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</si>
  <si>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</si>
  <si>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</si>
  <si>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</si>
  <si>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</si>
  <si>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</si>
  <si>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</si>
  <si>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</si>
  <si>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v forecast </t>
  </si>
  <si>
    <t xml:space="preserve">Profit </t>
  </si>
  <si>
    <t>Sales growth</t>
  </si>
  <si>
    <t>Cashflow costs</t>
  </si>
  <si>
    <t>Receipts</t>
  </si>
  <si>
    <t xml:space="preserve">Operating </t>
  </si>
  <si>
    <t xml:space="preserve">Investment </t>
  </si>
  <si>
    <t xml:space="preserve">Free cashflow </t>
  </si>
  <si>
    <t>Capital</t>
  </si>
  <si>
    <t>$$m</t>
  </si>
  <si>
    <t>Cash</t>
  </si>
  <si>
    <t xml:space="preserve">Assets </t>
  </si>
  <si>
    <t xml:space="preserve">Other assets </t>
  </si>
  <si>
    <t>Balance</t>
  </si>
  <si>
    <t>Net cash</t>
  </si>
  <si>
    <t>Share price</t>
  </si>
  <si>
    <t>ADRO</t>
  </si>
  <si>
    <t xml:space="preserve">Previous </t>
  </si>
  <si>
    <t>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</si>
</sst>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29981"/>
          <c:y val="0.0446026"/>
          <c:w val="0.829027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'Capital'!$A$8:$A$24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'Capital'!$E$8:$E$24</c:f>
              <c:numCache>
                <c:ptCount val="17"/>
                <c:pt idx="0">
                  <c:v>846.000000</c:v>
                </c:pt>
                <c:pt idx="1">
                  <c:v>984.000000</c:v>
                </c:pt>
                <c:pt idx="2">
                  <c:v>743.909091</c:v>
                </c:pt>
                <c:pt idx="3">
                  <c:v>721.818182</c:v>
                </c:pt>
                <c:pt idx="4">
                  <c:v>1190.363636</c:v>
                </c:pt>
                <c:pt idx="5">
                  <c:v>1100.363636</c:v>
                </c:pt>
                <c:pt idx="6">
                  <c:v>1644.363636</c:v>
                </c:pt>
                <c:pt idx="7">
                  <c:v>1940.363636</c:v>
                </c:pt>
                <c:pt idx="8">
                  <c:v>1726.363636</c:v>
                </c:pt>
                <c:pt idx="9">
                  <c:v>1368.363636</c:v>
                </c:pt>
                <c:pt idx="10">
                  <c:v>1063.363636</c:v>
                </c:pt>
                <c:pt idx="11">
                  <c:v>944.363636</c:v>
                </c:pt>
                <c:pt idx="12">
                  <c:v>866.363636</c:v>
                </c:pt>
                <c:pt idx="13">
                  <c:v>825.363636</c:v>
                </c:pt>
                <c:pt idx="14">
                  <c:v>1358.363636</c:v>
                </c:pt>
                <c:pt idx="15">
                  <c:v>929.363636</c:v>
                </c:pt>
                <c:pt idx="16">
                  <c:v>1053.063636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'Capital'!$A$8:$A$24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'Capital'!$F$8:$F$24</c:f>
              <c:numCache>
                <c:ptCount val="17"/>
                <c:pt idx="0">
                  <c:v>30.000000</c:v>
                </c:pt>
                <c:pt idx="1">
                  <c:v>31.000000</c:v>
                </c:pt>
                <c:pt idx="2">
                  <c:v>205.545455</c:v>
                </c:pt>
                <c:pt idx="3">
                  <c:v>1319.454545</c:v>
                </c:pt>
                <c:pt idx="4">
                  <c:v>1250.454545</c:v>
                </c:pt>
                <c:pt idx="5">
                  <c:v>1154.454545</c:v>
                </c:pt>
                <c:pt idx="6">
                  <c:v>1004.454545</c:v>
                </c:pt>
                <c:pt idx="7">
                  <c:v>778.454545</c:v>
                </c:pt>
                <c:pt idx="8">
                  <c:v>702.454545</c:v>
                </c:pt>
                <c:pt idx="9">
                  <c:v>626.454545</c:v>
                </c:pt>
                <c:pt idx="10">
                  <c:v>548.454545</c:v>
                </c:pt>
                <c:pt idx="11">
                  <c:v>635.454545</c:v>
                </c:pt>
                <c:pt idx="12">
                  <c:v>460.454545</c:v>
                </c:pt>
                <c:pt idx="13">
                  <c:v>175.454545</c:v>
                </c:pt>
                <c:pt idx="14">
                  <c:v>-43.545455</c:v>
                </c:pt>
                <c:pt idx="15">
                  <c:v>-327.545455</c:v>
                </c:pt>
                <c:pt idx="16">
                  <c:v>-547.045455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'Capital'!$A$8:$A$24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'Capital'!$G$8:$G$24</c:f>
              <c:numCache>
                <c:ptCount val="17"/>
                <c:pt idx="0">
                  <c:v>876.000000</c:v>
                </c:pt>
                <c:pt idx="1">
                  <c:v>1015.000000</c:v>
                </c:pt>
                <c:pt idx="2">
                  <c:v>949.454545</c:v>
                </c:pt>
                <c:pt idx="3">
                  <c:v>2041.272727</c:v>
                </c:pt>
                <c:pt idx="4">
                  <c:v>2440.818182</c:v>
                </c:pt>
                <c:pt idx="5">
                  <c:v>2254.818182</c:v>
                </c:pt>
                <c:pt idx="6">
                  <c:v>2648.818182</c:v>
                </c:pt>
                <c:pt idx="7">
                  <c:v>2718.818182</c:v>
                </c:pt>
                <c:pt idx="8">
                  <c:v>2428.818182</c:v>
                </c:pt>
                <c:pt idx="9">
                  <c:v>1994.818182</c:v>
                </c:pt>
                <c:pt idx="10">
                  <c:v>1611.818182</c:v>
                </c:pt>
                <c:pt idx="11">
                  <c:v>1579.818182</c:v>
                </c:pt>
                <c:pt idx="12">
                  <c:v>1326.818182</c:v>
                </c:pt>
                <c:pt idx="13">
                  <c:v>1000.818182</c:v>
                </c:pt>
                <c:pt idx="14">
                  <c:v>1314.818182</c:v>
                </c:pt>
                <c:pt idx="15">
                  <c:v>601.818182</c:v>
                </c:pt>
                <c:pt idx="16">
                  <c:v>506.018182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937.5"/>
        <c:minorUnit val="468.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568376"/>
          <c:y val="0.0592784"/>
          <c:w val="0.332029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538824</xdr:colOff>
      <xdr:row>2</xdr:row>
      <xdr:rowOff>159779</xdr:rowOff>
    </xdr:from>
    <xdr:to>
      <xdr:col>13</xdr:col>
      <xdr:colOff>1196660</xdr:colOff>
      <xdr:row>50</xdr:row>
      <xdr:rowOff>1867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25124" y="745249"/>
          <a:ext cx="9370037" cy="120677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22</xdr:col>
      <xdr:colOff>256796</xdr:colOff>
      <xdr:row>24</xdr:row>
      <xdr:rowOff>71538</xdr:rowOff>
    </xdr:from>
    <xdr:to>
      <xdr:col>22</xdr:col>
      <xdr:colOff>260078</xdr:colOff>
      <xdr:row>24</xdr:row>
      <xdr:rowOff>78103</xdr:rowOff>
    </xdr:to>
    <xdr:sp>
      <xdr:nvSpPr>
        <xdr:cNvPr id="4" name="Drawing"/>
        <xdr:cNvSpPr/>
      </xdr:nvSpPr>
      <xdr:spPr>
        <a:xfrm>
          <a:off x="21630896" y="6436778"/>
          <a:ext cx="3283" cy="656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21600"/>
              </a:moveTo>
              <a:cubicBezTo>
                <a:pt x="7200" y="14400"/>
                <a:pt x="14400" y="7200"/>
                <a:pt x="21600" y="0"/>
              </a:cubicBezTo>
            </a:path>
          </a:pathLst>
        </a:custGeom>
        <a:noFill/>
        <a:ln w="25400" cap="rnd">
          <a:solidFill>
            <a:srgbClr val="F93343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12700</xdr:colOff>
      <xdr:row>30</xdr:row>
      <xdr:rowOff>95996</xdr:rowOff>
    </xdr:from>
    <xdr:to>
      <xdr:col>4</xdr:col>
      <xdr:colOff>259905</xdr:colOff>
      <xdr:row>43</xdr:row>
      <xdr:rowOff>147622</xdr:rowOff>
    </xdr:to>
    <xdr:graphicFrame>
      <xdr:nvGraphicFramePr>
        <xdr:cNvPr id="6" name="2D Line Chart"/>
        <xdr:cNvGraphicFramePr/>
      </xdr:nvGraphicFramePr>
      <xdr:xfrm>
        <a:off x="12700" y="7825216"/>
        <a:ext cx="3600006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198226</xdr:rowOff>
    </xdr:from>
    <xdr:to>
      <xdr:col>4</xdr:col>
      <xdr:colOff>735541</xdr:colOff>
      <xdr:row>30</xdr:row>
      <xdr:rowOff>169857</xdr:rowOff>
    </xdr:to>
    <xdr:sp>
      <xdr:nvSpPr>
        <xdr:cNvPr id="7" name="ADRO HASN’T PAID BACK THE CAPITAL YET"/>
        <xdr:cNvSpPr txBox="1"/>
      </xdr:nvSpPr>
      <xdr:spPr>
        <a:xfrm>
          <a:off x="-231468" y="6916526"/>
          <a:ext cx="4088342" cy="9825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ADRO HASN’T PAID BACK THE CAPITAL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YET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7578" style="1" customWidth="1"/>
    <col min="2" max="2" width="15.3438" style="1" customWidth="1"/>
    <col min="3" max="6" width="8.82031" style="1" customWidth="1"/>
    <col min="7" max="16384" width="16.3516" style="1" customWidth="1"/>
  </cols>
  <sheetData>
    <row r="1" ht="18.4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AVERAGE('Sales'!G28:G31)</f>
        <v>0.255187202705692</v>
      </c>
      <c r="D4" s="8"/>
      <c r="E4" s="8"/>
      <c r="F4" s="9">
        <f>AVERAGE(C5:F5)</f>
        <v>0.0225</v>
      </c>
    </row>
    <row r="5" ht="20.05" customHeight="1">
      <c r="B5" t="s" s="10">
        <v>4</v>
      </c>
      <c r="C5" s="11">
        <v>-0.03</v>
      </c>
      <c r="D5" s="12">
        <v>0.04</v>
      </c>
      <c r="E5" s="12">
        <v>0.04</v>
      </c>
      <c r="F5" s="12">
        <v>0.04</v>
      </c>
    </row>
    <row r="6" ht="20.05" customHeight="1">
      <c r="B6" t="s" s="10">
        <v>5</v>
      </c>
      <c r="C6" s="13">
        <f>'Sales'!C31*(1+C5)</f>
        <v>1380.892</v>
      </c>
      <c r="D6" s="14">
        <f>C6*(1+D5)</f>
        <v>1436.12768</v>
      </c>
      <c r="E6" s="14">
        <f>D6*(1+E5)</f>
        <v>1493.5727872</v>
      </c>
      <c r="F6" s="14">
        <f>E6*(1+F5)</f>
        <v>1553.315698688</v>
      </c>
    </row>
    <row r="7" ht="20.05" customHeight="1">
      <c r="B7" t="s" s="10">
        <v>6</v>
      </c>
      <c r="C7" s="15">
        <f>AVERAGE('Sales'!K31)</f>
        <v>-0.564816181898715</v>
      </c>
      <c r="D7" s="16">
        <f>C7</f>
        <v>-0.564816181898715</v>
      </c>
      <c r="E7" s="16">
        <f>D7</f>
        <v>-0.564816181898715</v>
      </c>
      <c r="F7" s="16">
        <f>E7</f>
        <v>-0.564816181898715</v>
      </c>
    </row>
    <row r="8" ht="20.05" customHeight="1">
      <c r="B8" t="s" s="10">
        <v>7</v>
      </c>
      <c r="C8" s="17">
        <f>C7*C6</f>
        <v>-779.950147054480</v>
      </c>
      <c r="D8" s="18">
        <f>D7*D6</f>
        <v>-811.148152936660</v>
      </c>
      <c r="E8" s="18">
        <f>E7*E6</f>
        <v>-843.594079054126</v>
      </c>
      <c r="F8" s="18">
        <f>F7*F6</f>
        <v>-877.3378422162911</v>
      </c>
    </row>
    <row r="9" ht="20.05" customHeight="1">
      <c r="B9" t="s" s="10">
        <v>8</v>
      </c>
      <c r="C9" s="17">
        <f>C6+C8</f>
        <v>600.9418529455201</v>
      </c>
      <c r="D9" s="18">
        <f>D6+D8</f>
        <v>624.979527063340</v>
      </c>
      <c r="E9" s="18">
        <f>E6+E8</f>
        <v>649.978708145874</v>
      </c>
      <c r="F9" s="18">
        <f>F6+F8</f>
        <v>675.9778564717089</v>
      </c>
    </row>
    <row r="10" ht="20.05" customHeight="1">
      <c r="B10" t="s" s="10">
        <v>9</v>
      </c>
      <c r="C10" s="19">
        <f>AVERAGE('Cashflow'!E31)</f>
        <v>-116.1</v>
      </c>
      <c r="D10" s="20">
        <f>C10</f>
        <v>-116.1</v>
      </c>
      <c r="E10" s="20">
        <f>D10</f>
        <v>-116.1</v>
      </c>
      <c r="F10" s="20">
        <f>E10</f>
        <v>-116.1</v>
      </c>
    </row>
    <row r="11" ht="20.05" customHeight="1">
      <c r="B11" t="s" s="10">
        <v>10</v>
      </c>
      <c r="C11" s="19">
        <f>'Cashflow'!F31</f>
        <v>-14.289</v>
      </c>
      <c r="D11" s="20">
        <f>C11</f>
        <v>-14.289</v>
      </c>
      <c r="E11" s="20">
        <f>D11</f>
        <v>-14.289</v>
      </c>
      <c r="F11" s="20">
        <f>E11</f>
        <v>-14.289</v>
      </c>
    </row>
    <row r="12" ht="20.05" customHeight="1">
      <c r="B12" t="s" s="10">
        <v>11</v>
      </c>
      <c r="C12" s="19">
        <f>C13+C14+C16</f>
        <v>-388.400926472760</v>
      </c>
      <c r="D12" s="20">
        <f>D13+D14+D16</f>
        <v>-392.598263531670</v>
      </c>
      <c r="E12" s="20">
        <f>E13+E14+E16</f>
        <v>-397.667429072937</v>
      </c>
      <c r="F12" s="20">
        <f>F13+F14+F16</f>
        <v>-403.608099485855</v>
      </c>
    </row>
    <row r="13" ht="20.05" customHeight="1">
      <c r="B13" t="s" s="10">
        <v>12</v>
      </c>
      <c r="C13" s="19">
        <f>-('Balance sheet'!G31)/20</f>
        <v>-156.43</v>
      </c>
      <c r="D13" s="20">
        <f>-C27/20</f>
        <v>-148.6085</v>
      </c>
      <c r="E13" s="20">
        <f>-D27/20</f>
        <v>-141.178075</v>
      </c>
      <c r="F13" s="20">
        <f>-E27/20</f>
        <v>-134.11917125</v>
      </c>
    </row>
    <row r="14" ht="20.05" customHeight="1">
      <c r="B14" t="s" s="10">
        <v>13</v>
      </c>
      <c r="C14" s="19">
        <f>IF(C22&gt;0,-C22*0.5,0)</f>
        <v>-231.970926472760</v>
      </c>
      <c r="D14" s="20">
        <f>IF(D22&gt;0,-D22*0.5,0)</f>
        <v>-243.989763531670</v>
      </c>
      <c r="E14" s="20">
        <f>IF(E22&gt;0,-E22*0.5,0)</f>
        <v>-256.489354072937</v>
      </c>
      <c r="F14" s="20">
        <f>IF(F22&gt;0,-F22*0.5,0)</f>
        <v>-269.488928235855</v>
      </c>
    </row>
    <row r="15" ht="20.05" customHeight="1">
      <c r="B15" t="s" s="10">
        <v>14</v>
      </c>
      <c r="C15" s="17">
        <f>C9+C10+C13+C14+C17</f>
        <v>1907.440926472760</v>
      </c>
      <c r="D15" s="18">
        <f>D9+D10+D13+D14+D17</f>
        <v>2023.722190004430</v>
      </c>
      <c r="E15" s="18">
        <f>E9+E10+E13+E14+E17</f>
        <v>2159.933469077370</v>
      </c>
      <c r="F15" s="18">
        <f>F9+F10+F13+F14+F17</f>
        <v>2316.203226063220</v>
      </c>
    </row>
    <row r="16" ht="20.05" customHeight="1">
      <c r="B16" t="s" s="10">
        <v>15</v>
      </c>
      <c r="C16" s="19">
        <f>-MIN(0,C15)</f>
        <v>0</v>
      </c>
      <c r="D16" s="20">
        <f>-MIN(C28,D15)</f>
        <v>0</v>
      </c>
      <c r="E16" s="20">
        <f>-MIN(D28,E15)</f>
        <v>0</v>
      </c>
      <c r="F16" s="20">
        <f>-MIN(E28,F15)</f>
        <v>0</v>
      </c>
    </row>
    <row r="17" ht="20.05" customHeight="1">
      <c r="B17" t="s" s="10">
        <v>16</v>
      </c>
      <c r="C17" s="19">
        <f>'Balance sheet'!C31</f>
        <v>1811</v>
      </c>
      <c r="D17" s="20">
        <f>C19</f>
        <v>1907.440926472760</v>
      </c>
      <c r="E17" s="20">
        <f>D19</f>
        <v>2023.722190004430</v>
      </c>
      <c r="F17" s="20">
        <f>E19</f>
        <v>2159.933469077370</v>
      </c>
    </row>
    <row r="18" ht="20.05" customHeight="1">
      <c r="B18" t="s" s="10">
        <v>17</v>
      </c>
      <c r="C18" s="19">
        <f>C9+C10+C12</f>
        <v>96.440926472760</v>
      </c>
      <c r="D18" s="20">
        <f>D9+D10+D12</f>
        <v>116.281263531670</v>
      </c>
      <c r="E18" s="20">
        <f>E9+E10+E12</f>
        <v>136.211279072937</v>
      </c>
      <c r="F18" s="20">
        <f>F9+F10+F12</f>
        <v>156.269756985854</v>
      </c>
    </row>
    <row r="19" ht="20.05" customHeight="1">
      <c r="B19" t="s" s="10">
        <v>18</v>
      </c>
      <c r="C19" s="19">
        <f>C17+C18</f>
        <v>1907.440926472760</v>
      </c>
      <c r="D19" s="20">
        <f>D17+D18</f>
        <v>2023.722190004430</v>
      </c>
      <c r="E19" s="20">
        <f>E17+E18</f>
        <v>2159.933469077370</v>
      </c>
      <c r="F19" s="20">
        <f>F17+F18</f>
        <v>2316.203226063220</v>
      </c>
    </row>
    <row r="20" ht="20.05" customHeight="1">
      <c r="B20" t="s" s="21">
        <v>19</v>
      </c>
      <c r="C20" s="22"/>
      <c r="D20" s="23"/>
      <c r="E20" s="23"/>
      <c r="F20" s="24"/>
    </row>
    <row r="21" ht="20.05" customHeight="1">
      <c r="B21" t="s" s="10">
        <v>20</v>
      </c>
      <c r="C21" s="19">
        <f>-AVERAGE('Sales'!E31)</f>
        <v>-137</v>
      </c>
      <c r="D21" s="20">
        <f>C21</f>
        <v>-137</v>
      </c>
      <c r="E21" s="20">
        <f>D21</f>
        <v>-137</v>
      </c>
      <c r="F21" s="20">
        <f>E21</f>
        <v>-137</v>
      </c>
    </row>
    <row r="22" ht="20.05" customHeight="1">
      <c r="B22" t="s" s="10">
        <v>21</v>
      </c>
      <c r="C22" s="19">
        <f>C6+C8+C21</f>
        <v>463.941852945520</v>
      </c>
      <c r="D22" s="20">
        <f>D6+D8+D21</f>
        <v>487.979527063340</v>
      </c>
      <c r="E22" s="20">
        <f>E6+E8+E21</f>
        <v>512.978708145874</v>
      </c>
      <c r="F22" s="20">
        <f>F6+F8+F21</f>
        <v>538.9778564717089</v>
      </c>
    </row>
    <row r="23" ht="20.05" customHeight="1">
      <c r="B23" t="s" s="21">
        <v>22</v>
      </c>
      <c r="C23" s="22"/>
      <c r="D23" s="23"/>
      <c r="E23" s="23"/>
      <c r="F23" s="23"/>
    </row>
    <row r="24" ht="20.05" customHeight="1">
      <c r="B24" t="s" s="10">
        <v>23</v>
      </c>
      <c r="C24" s="19">
        <f>'Balance sheet'!E31+'Balance sheet'!F31-C10</f>
        <v>10038</v>
      </c>
      <c r="D24" s="20">
        <f>C24-D10</f>
        <v>10154.1</v>
      </c>
      <c r="E24" s="20">
        <f>D24-E10</f>
        <v>10270.2</v>
      </c>
      <c r="F24" s="20">
        <f>E24-F10</f>
        <v>10386.3</v>
      </c>
    </row>
    <row r="25" ht="20.05" customHeight="1">
      <c r="B25" t="s" s="10">
        <v>24</v>
      </c>
      <c r="C25" s="19">
        <f>'Balance sheet'!F31-C21</f>
        <v>4283</v>
      </c>
      <c r="D25" s="20">
        <f>C25-D21</f>
        <v>4420</v>
      </c>
      <c r="E25" s="20">
        <f>D25-E21</f>
        <v>4557</v>
      </c>
      <c r="F25" s="20">
        <f>E25-F21</f>
        <v>4694</v>
      </c>
    </row>
    <row r="26" ht="20.05" customHeight="1">
      <c r="B26" t="s" s="10">
        <v>25</v>
      </c>
      <c r="C26" s="19">
        <f>C24-C25</f>
        <v>5755</v>
      </c>
      <c r="D26" s="20">
        <f>D24-D25</f>
        <v>5734.1</v>
      </c>
      <c r="E26" s="20">
        <f>E24-E25</f>
        <v>5713.2</v>
      </c>
      <c r="F26" s="20">
        <f>F24-F25</f>
        <v>5692.3</v>
      </c>
    </row>
    <row r="27" ht="20.05" customHeight="1">
      <c r="B27" t="s" s="10">
        <v>12</v>
      </c>
      <c r="C27" s="19">
        <f>'Balance sheet'!G31+C13</f>
        <v>2972.17</v>
      </c>
      <c r="D27" s="20">
        <f>C27+D13</f>
        <v>2823.5615</v>
      </c>
      <c r="E27" s="20">
        <f>D27+E13</f>
        <v>2682.383425</v>
      </c>
      <c r="F27" s="20">
        <f>E27+F13</f>
        <v>2548.26425375</v>
      </c>
    </row>
    <row r="28" ht="20.05" customHeight="1">
      <c r="B28" t="s" s="10">
        <v>15</v>
      </c>
      <c r="C28" s="19">
        <f>C16</f>
        <v>0</v>
      </c>
      <c r="D28" s="20">
        <f>C28+D16</f>
        <v>0</v>
      </c>
      <c r="E28" s="20">
        <f>D28+E16</f>
        <v>0</v>
      </c>
      <c r="F28" s="20">
        <f>E28+F16</f>
        <v>0</v>
      </c>
    </row>
    <row r="29" ht="20.05" customHeight="1">
      <c r="B29" t="s" s="10">
        <v>26</v>
      </c>
      <c r="C29" s="19">
        <f>'Balance sheet'!H31+C22+C14</f>
        <v>4690.270926472760</v>
      </c>
      <c r="D29" s="20">
        <f>C29+D22+D14</f>
        <v>4934.260690004430</v>
      </c>
      <c r="E29" s="20">
        <f>D29+E22+E14</f>
        <v>5190.750044077370</v>
      </c>
      <c r="F29" s="20">
        <f>E29+F22+F14</f>
        <v>5460.238972313220</v>
      </c>
    </row>
    <row r="30" ht="20.05" customHeight="1">
      <c r="B30" t="s" s="10">
        <v>27</v>
      </c>
      <c r="C30" s="19">
        <f>C27+C28+C29-C19-C26</f>
        <v>0</v>
      </c>
      <c r="D30" s="20">
        <f>D27+D28+D29-D19-D26</f>
        <v>0</v>
      </c>
      <c r="E30" s="20">
        <f>E27+E28+E29-E19-E26</f>
        <v>0</v>
      </c>
      <c r="F30" s="20">
        <f>F27+F28+F29-F19-F26</f>
        <v>0</v>
      </c>
    </row>
    <row r="31" ht="20.05" customHeight="1">
      <c r="B31" t="s" s="10">
        <v>28</v>
      </c>
      <c r="C31" s="19">
        <f>C19-C27-C28</f>
        <v>-1064.729073527240</v>
      </c>
      <c r="D31" s="20">
        <f>D19-D27-D28</f>
        <v>-799.839309995570</v>
      </c>
      <c r="E31" s="20">
        <f>E19-E27-E28</f>
        <v>-522.449955922630</v>
      </c>
      <c r="F31" s="20">
        <f>F19-F27-F28</f>
        <v>-232.061027686780</v>
      </c>
    </row>
    <row r="32" ht="20.05" customHeight="1">
      <c r="B32" t="s" s="10">
        <v>29</v>
      </c>
      <c r="C32" s="19"/>
      <c r="D32" s="20"/>
      <c r="E32" s="20"/>
      <c r="F32" s="20"/>
    </row>
    <row r="33" ht="20.05" customHeight="1">
      <c r="B33" t="s" s="10">
        <v>30</v>
      </c>
      <c r="C33" s="19"/>
      <c r="D33" s="20"/>
      <c r="E33" s="20"/>
      <c r="F33" s="20">
        <v>14</v>
      </c>
    </row>
    <row r="34" ht="20.05" customHeight="1">
      <c r="B34" t="s" s="10">
        <v>31</v>
      </c>
      <c r="C34" s="19">
        <f>'Cashflow'!M31-C12</f>
        <v>2146.700926472760</v>
      </c>
      <c r="D34" s="20">
        <f>C34-D12</f>
        <v>2539.299190004430</v>
      </c>
      <c r="E34" s="20">
        <f>D34-E12</f>
        <v>2936.966619077370</v>
      </c>
      <c r="F34" s="20">
        <f>E34-F12</f>
        <v>3340.574718563230</v>
      </c>
    </row>
    <row r="35" ht="20.05" customHeight="1">
      <c r="B35" t="s" s="10">
        <v>32</v>
      </c>
      <c r="C35" s="19"/>
      <c r="D35" s="20"/>
      <c r="E35" s="20"/>
      <c r="F35" s="20">
        <v>83483460370432</v>
      </c>
    </row>
    <row r="36" ht="20.05" customHeight="1">
      <c r="B36" t="s" s="10">
        <v>32</v>
      </c>
      <c r="C36" s="19"/>
      <c r="D36" s="20"/>
      <c r="E36" s="20"/>
      <c r="F36" s="20">
        <f>F35/F33/1000000000</f>
        <v>5963.104312173710</v>
      </c>
    </row>
    <row r="37" ht="20.05" customHeight="1">
      <c r="B37" t="s" s="10">
        <v>33</v>
      </c>
      <c r="C37" s="19"/>
      <c r="D37" s="20"/>
      <c r="E37" s="20"/>
      <c r="F37" s="25">
        <f>F36/(F19+F26)</f>
        <v>0.74459660486458</v>
      </c>
    </row>
    <row r="38" ht="20.05" customHeight="1">
      <c r="B38" t="s" s="10">
        <v>34</v>
      </c>
      <c r="C38" s="19"/>
      <c r="D38" s="20"/>
      <c r="E38" s="20"/>
      <c r="F38" s="16">
        <f>-(C14+D14+E14+F14)/F36</f>
        <v>0.168023049717202</v>
      </c>
    </row>
    <row r="39" ht="20.05" customHeight="1">
      <c r="B39" t="s" s="10">
        <v>3</v>
      </c>
      <c r="C39" s="19"/>
      <c r="D39" s="20"/>
      <c r="E39" s="20"/>
      <c r="F39" s="20">
        <f>SUM(C9:F11)</f>
        <v>2030.321944626440</v>
      </c>
    </row>
    <row r="40" ht="20.05" customHeight="1">
      <c r="B40" t="s" s="10">
        <v>35</v>
      </c>
      <c r="C40" s="19"/>
      <c r="D40" s="20"/>
      <c r="E40" s="20"/>
      <c r="F40" s="20">
        <f>'Balance sheet'!E31/F39</f>
        <v>2.84481976628722</v>
      </c>
    </row>
    <row r="41" ht="20.05" customHeight="1">
      <c r="B41" t="s" s="10">
        <v>29</v>
      </c>
      <c r="C41" s="19"/>
      <c r="D41" s="20"/>
      <c r="E41" s="20"/>
      <c r="F41" s="20">
        <f>F36/F39</f>
        <v>2.93702401629258</v>
      </c>
    </row>
    <row r="42" ht="20.05" customHeight="1">
      <c r="B42" t="s" s="10">
        <v>36</v>
      </c>
      <c r="C42" s="19"/>
      <c r="D42" s="20"/>
      <c r="E42" s="20"/>
      <c r="F42" s="20">
        <v>7.5</v>
      </c>
    </row>
    <row r="43" ht="20.05" customHeight="1">
      <c r="B43" t="s" s="10">
        <v>37</v>
      </c>
      <c r="C43" s="19"/>
      <c r="D43" s="20"/>
      <c r="E43" s="20"/>
      <c r="F43" s="20">
        <f>F39*F42</f>
        <v>15227.4145846983</v>
      </c>
    </row>
    <row r="44" ht="20.05" customHeight="1">
      <c r="B44" t="s" s="10">
        <v>38</v>
      </c>
      <c r="C44" s="19"/>
      <c r="D44" s="20"/>
      <c r="E44" s="20"/>
      <c r="F44" s="20">
        <f>(F35/1000000000)/F46</f>
        <v>31.986000141928</v>
      </c>
    </row>
    <row r="45" ht="20.05" customHeight="1">
      <c r="B45" t="s" s="10">
        <v>39</v>
      </c>
      <c r="C45" s="19"/>
      <c r="D45" s="20"/>
      <c r="E45" s="20"/>
      <c r="F45" s="20">
        <f>(F43/F44)*F33</f>
        <v>6664.909749260270</v>
      </c>
    </row>
    <row r="46" ht="20.05" customHeight="1">
      <c r="B46" t="s" s="10">
        <v>40</v>
      </c>
      <c r="C46" s="19"/>
      <c r="D46" s="20"/>
      <c r="E46" s="20"/>
      <c r="F46" s="20">
        <v>2610</v>
      </c>
    </row>
    <row r="47" ht="20.05" customHeight="1">
      <c r="B47" t="s" s="10">
        <v>41</v>
      </c>
      <c r="C47" s="19"/>
      <c r="D47" s="20"/>
      <c r="E47" s="20"/>
      <c r="F47" s="16">
        <f>F45/F46-1</f>
        <v>1.55360526791581</v>
      </c>
    </row>
    <row r="48" ht="20.05" customHeight="1">
      <c r="B48" t="s" s="10">
        <v>42</v>
      </c>
      <c r="C48" s="19"/>
      <c r="D48" s="20"/>
      <c r="E48" s="20"/>
      <c r="F48" s="16">
        <f>'Sales'!C31/'Sales'!C27-1</f>
        <v>1.45236864771748</v>
      </c>
    </row>
    <row r="49" ht="20.05" customHeight="1">
      <c r="B49" t="s" s="10">
        <v>43</v>
      </c>
      <c r="C49" s="19"/>
      <c r="D49" s="20"/>
      <c r="E49" s="20"/>
      <c r="F49" s="16">
        <f>('Sales'!D22+'Sales'!D30+'Sales'!D31+'Sales'!D23+'Sales'!D24+'Sales'!D25+'Sales'!D26+'Sales'!D27+'Sales'!D28+'Sales'!D29)/('Sales'!C22+'Sales'!C23+'Sales'!C24+'Sales'!C25+'Sales'!C26+'Sales'!C27+'Sales'!C28+'Sales'!C30+'Sales'!C31+'Sales'!C29)-1</f>
        <v>0.00452684020122538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67188" style="26" customWidth="1"/>
    <col min="2" max="2" width="8.10938" style="26" customWidth="1"/>
    <col min="3" max="11" width="10.2344" style="26" customWidth="1"/>
    <col min="12" max="16384" width="16.3516" style="26" customWidth="1"/>
  </cols>
  <sheetData>
    <row r="1" ht="17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36</v>
      </c>
      <c r="E3" t="s" s="5">
        <v>24</v>
      </c>
      <c r="F3" t="s" s="5">
        <v>44</v>
      </c>
      <c r="G3" t="s" s="5">
        <v>45</v>
      </c>
      <c r="H3" t="s" s="5">
        <v>6</v>
      </c>
      <c r="I3" t="s" s="5">
        <v>6</v>
      </c>
      <c r="J3" t="s" s="5">
        <v>36</v>
      </c>
      <c r="K3" t="s" s="5">
        <v>46</v>
      </c>
    </row>
    <row r="4" ht="20.25" customHeight="1">
      <c r="B4" s="27">
        <v>2015</v>
      </c>
      <c r="C4" s="28">
        <v>711</v>
      </c>
      <c r="D4" s="29"/>
      <c r="E4" s="29">
        <v>77</v>
      </c>
      <c r="F4" s="29">
        <v>59</v>
      </c>
      <c r="G4" s="9"/>
      <c r="H4" s="30">
        <f>(E4+F4-C4)/C4</f>
        <v>-0.808720112517581</v>
      </c>
      <c r="I4" s="9"/>
      <c r="J4" s="30"/>
      <c r="K4" s="30"/>
    </row>
    <row r="5" ht="20.05" customHeight="1">
      <c r="B5" s="31"/>
      <c r="C5" s="19">
        <v>688</v>
      </c>
      <c r="D5" s="20"/>
      <c r="E5" s="20">
        <v>73</v>
      </c>
      <c r="F5" s="20">
        <v>60</v>
      </c>
      <c r="G5" s="16">
        <f>C5/C4-1</f>
        <v>-0.0323488045007032</v>
      </c>
      <c r="H5" s="16">
        <f>(E5+F5-C5)/C5</f>
        <v>-0.806686046511628</v>
      </c>
      <c r="I5" s="12"/>
      <c r="J5" s="16"/>
      <c r="K5" s="16"/>
    </row>
    <row r="6" ht="20.05" customHeight="1">
      <c r="B6" s="31"/>
      <c r="C6" s="19">
        <v>713</v>
      </c>
      <c r="D6" s="20"/>
      <c r="E6" s="20">
        <v>78</v>
      </c>
      <c r="F6" s="20">
        <v>62</v>
      </c>
      <c r="G6" s="16">
        <f>C6/C5-1</f>
        <v>0.0363372093023256</v>
      </c>
      <c r="H6" s="16">
        <f>(E6+F6-C6)/C6</f>
        <v>-0.803646563814867</v>
      </c>
      <c r="I6" s="12"/>
      <c r="J6" s="16"/>
      <c r="K6" s="16"/>
    </row>
    <row r="7" ht="20.05" customHeight="1">
      <c r="B7" s="31"/>
      <c r="C7" s="19">
        <v>572</v>
      </c>
      <c r="D7" s="20"/>
      <c r="E7" s="20">
        <v>82</v>
      </c>
      <c r="F7" s="20">
        <v>-30</v>
      </c>
      <c r="G7" s="16">
        <f>C7/C6-1</f>
        <v>-0.197755960729313</v>
      </c>
      <c r="H7" s="16">
        <f>(E7+F7-C7)/C7</f>
        <v>-0.9090909090909089</v>
      </c>
      <c r="I7" s="12"/>
      <c r="J7" s="16"/>
      <c r="K7" s="16"/>
    </row>
    <row r="8" ht="20.05" customHeight="1">
      <c r="B8" s="32">
        <v>2016</v>
      </c>
      <c r="C8" s="19">
        <v>586</v>
      </c>
      <c r="D8" s="20"/>
      <c r="E8" s="20">
        <v>76</v>
      </c>
      <c r="F8" s="20">
        <v>61</v>
      </c>
      <c r="G8" s="16">
        <f>C8/C7-1</f>
        <v>0.0244755244755245</v>
      </c>
      <c r="H8" s="16">
        <f>(E8+F8-C8)/C8</f>
        <v>-0.766211604095563</v>
      </c>
      <c r="I8" s="16"/>
      <c r="J8" s="16"/>
      <c r="K8" s="16"/>
    </row>
    <row r="9" ht="20.05" customHeight="1">
      <c r="B9" s="31"/>
      <c r="C9" s="19">
        <v>590</v>
      </c>
      <c r="D9" s="20"/>
      <c r="E9" s="20">
        <v>81</v>
      </c>
      <c r="F9" s="20">
        <v>62</v>
      </c>
      <c r="G9" s="16">
        <f>C9/C8-1</f>
        <v>0.0068259385665529</v>
      </c>
      <c r="H9" s="16">
        <f>(E9+F9-C9)/C9</f>
        <v>-0.757627118644068</v>
      </c>
      <c r="I9" s="16"/>
      <c r="J9" s="16"/>
      <c r="K9" s="16"/>
    </row>
    <row r="10" ht="20.05" customHeight="1">
      <c r="B10" s="31"/>
      <c r="C10" s="19">
        <v>602</v>
      </c>
      <c r="D10" s="20"/>
      <c r="E10" s="20">
        <v>79</v>
      </c>
      <c r="F10" s="20">
        <v>87</v>
      </c>
      <c r="G10" s="16">
        <f>C10/C9-1</f>
        <v>0.0203389830508475</v>
      </c>
      <c r="H10" s="16">
        <f>(E10+F10-C10)/C10</f>
        <v>-0.724252491694352</v>
      </c>
      <c r="I10" s="16"/>
      <c r="J10" s="16"/>
      <c r="K10" s="16"/>
    </row>
    <row r="11" ht="20.05" customHeight="1">
      <c r="B11" s="31"/>
      <c r="C11" s="19">
        <v>746</v>
      </c>
      <c r="D11" s="20"/>
      <c r="E11" s="20">
        <v>86</v>
      </c>
      <c r="F11" s="20">
        <v>131</v>
      </c>
      <c r="G11" s="16">
        <f>C11/C10-1</f>
        <v>0.239202657807309</v>
      </c>
      <c r="H11" s="16">
        <f>(E11+F11-C11)/C11</f>
        <v>-0.70911528150134</v>
      </c>
      <c r="I11" s="16"/>
      <c r="J11" s="16"/>
      <c r="K11" s="16"/>
    </row>
    <row r="12" ht="20.05" customHeight="1">
      <c r="B12" s="32">
        <v>2017</v>
      </c>
      <c r="C12" s="19">
        <v>727</v>
      </c>
      <c r="D12" s="20"/>
      <c r="E12" s="20">
        <v>80</v>
      </c>
      <c r="F12" s="20">
        <v>110</v>
      </c>
      <c r="G12" s="16">
        <f>C12/C11-1</f>
        <v>-0.0254691689008043</v>
      </c>
      <c r="H12" s="16">
        <f>(E12+F12-C12)/C12</f>
        <v>-0.7386519944979369</v>
      </c>
      <c r="I12" s="16"/>
      <c r="J12" s="16"/>
      <c r="K12" s="16">
        <f>('Cashflow'!D12-'Cashflow'!C12)/'Cashflow'!C12</f>
        <v>-0.718826405867971</v>
      </c>
    </row>
    <row r="13" ht="20.05" customHeight="1">
      <c r="B13" s="31"/>
      <c r="C13" s="19">
        <v>822</v>
      </c>
      <c r="D13" s="20"/>
      <c r="E13" s="20">
        <v>83</v>
      </c>
      <c r="F13" s="20">
        <v>139</v>
      </c>
      <c r="G13" s="16">
        <f>C13/C12-1</f>
        <v>0.130674002751032</v>
      </c>
      <c r="H13" s="16">
        <f>(E13+F13-C13)/C13</f>
        <v>-0.72992700729927</v>
      </c>
      <c r="I13" s="16"/>
      <c r="J13" s="16"/>
      <c r="K13" s="16">
        <f>('Cashflow'!D13-'Cashflow'!C13)/'Cashflow'!C13</f>
        <v>-0.718826405867971</v>
      </c>
    </row>
    <row r="14" ht="20.05" customHeight="1">
      <c r="B14" s="31"/>
      <c r="C14" s="19">
        <v>890</v>
      </c>
      <c r="D14" s="20"/>
      <c r="E14" s="20">
        <v>83</v>
      </c>
      <c r="F14" s="20">
        <v>165</v>
      </c>
      <c r="G14" s="16">
        <f>C14/C13-1</f>
        <v>0.0827250608272506</v>
      </c>
      <c r="H14" s="16">
        <f>(E14+F14-C14)/C14</f>
        <v>-0.721348314606742</v>
      </c>
      <c r="I14" s="16"/>
      <c r="J14" s="16"/>
      <c r="K14" s="16">
        <f>('Cashflow'!D14-'Cashflow'!C14)/'Cashflow'!C14</f>
        <v>-0.563569682151589</v>
      </c>
    </row>
    <row r="15" ht="20.05" customHeight="1">
      <c r="B15" s="31"/>
      <c r="C15" s="19">
        <v>819</v>
      </c>
      <c r="D15" s="20"/>
      <c r="E15" s="20">
        <v>76</v>
      </c>
      <c r="F15" s="20">
        <v>122</v>
      </c>
      <c r="G15" s="16">
        <f>C15/C14-1</f>
        <v>-0.07977528089887639</v>
      </c>
      <c r="H15" s="16">
        <f>(E15+F15-C15)/C15</f>
        <v>-0.758241758241758</v>
      </c>
      <c r="I15" s="16"/>
      <c r="J15" s="16"/>
      <c r="K15" s="16">
        <f>('Cashflow'!D15-'Cashflow'!C15)/'Cashflow'!C15</f>
        <v>-0.954767726161369</v>
      </c>
    </row>
    <row r="16" ht="20.05" customHeight="1">
      <c r="B16" s="32">
        <v>2018</v>
      </c>
      <c r="C16" s="19">
        <v>764</v>
      </c>
      <c r="D16" s="20"/>
      <c r="E16" s="20">
        <v>92</v>
      </c>
      <c r="F16" s="20">
        <v>88</v>
      </c>
      <c r="G16" s="16">
        <f>C16/C15-1</f>
        <v>-0.06715506715506719</v>
      </c>
      <c r="H16" s="16">
        <f>(E16+F16-C16)/C16</f>
        <v>-0.764397905759162</v>
      </c>
      <c r="I16" s="16">
        <f>AVERAGE(H13:H16)</f>
        <v>-0.743478746476733</v>
      </c>
      <c r="J16" s="16"/>
      <c r="K16" s="16">
        <f>('Cashflow'!D16-'Cashflow'!C16)/'Cashflow'!C16</f>
        <v>-0.7665544332211</v>
      </c>
    </row>
    <row r="17" ht="20.05" customHeight="1">
      <c r="B17" s="31"/>
      <c r="C17" s="19">
        <v>846</v>
      </c>
      <c r="D17" s="20"/>
      <c r="E17" s="20">
        <v>82</v>
      </c>
      <c r="F17" s="20">
        <v>136</v>
      </c>
      <c r="G17" s="16">
        <f>C17/C16-1</f>
        <v>0.107329842931937</v>
      </c>
      <c r="H17" s="16">
        <f>(E17+F17-C17)/C17</f>
        <v>-0.742316784869976</v>
      </c>
      <c r="I17" s="16">
        <f>AVERAGE(H14:H17)</f>
        <v>-0.74657619086941</v>
      </c>
      <c r="J17" s="16"/>
      <c r="K17" s="16">
        <f>('Cashflow'!D17-'Cashflow'!C17)/'Cashflow'!C17</f>
        <v>-0.656565656565657</v>
      </c>
    </row>
    <row r="18" ht="20.05" customHeight="1">
      <c r="B18" s="31"/>
      <c r="C18" s="19">
        <v>1057</v>
      </c>
      <c r="D18" s="20"/>
      <c r="E18" s="20">
        <v>87</v>
      </c>
      <c r="F18" s="20">
        <v>128</v>
      </c>
      <c r="G18" s="16">
        <f>C18/C17-1</f>
        <v>0.249408983451537</v>
      </c>
      <c r="H18" s="16">
        <f>(E18+F18-C18)/C18</f>
        <v>-0.7965941343424791</v>
      </c>
      <c r="I18" s="16">
        <f>AVERAGE(H15:H18)</f>
        <v>-0.765387645803344</v>
      </c>
      <c r="J18" s="16"/>
      <c r="K18" s="16">
        <f>('Cashflow'!D18-'Cashflow'!C18)/'Cashflow'!C18</f>
        <v>-0.606060606060606</v>
      </c>
    </row>
    <row r="19" ht="20.05" customHeight="1">
      <c r="B19" s="31"/>
      <c r="C19" s="19">
        <v>953</v>
      </c>
      <c r="D19" s="20"/>
      <c r="E19" s="20">
        <v>77</v>
      </c>
      <c r="F19" s="20">
        <v>126</v>
      </c>
      <c r="G19" s="16">
        <f>C19/C18-1</f>
        <v>-0.0983916745506149</v>
      </c>
      <c r="H19" s="16">
        <f>(E19+F19-C19)/C19</f>
        <v>-0.786988457502623</v>
      </c>
      <c r="I19" s="16">
        <f>AVERAGE(H16:H19)</f>
        <v>-0.77257432061856</v>
      </c>
      <c r="J19" s="16"/>
      <c r="K19" s="16">
        <f>('Cashflow'!D19-'Cashflow'!C19)/'Cashflow'!C19</f>
        <v>-0.953984287317621</v>
      </c>
    </row>
    <row r="20" ht="20.05" customHeight="1">
      <c r="B20" s="32">
        <v>2019</v>
      </c>
      <c r="C20" s="19">
        <v>846</v>
      </c>
      <c r="D20" s="20"/>
      <c r="E20" s="20">
        <v>84</v>
      </c>
      <c r="F20" s="20">
        <v>132</v>
      </c>
      <c r="G20" s="16">
        <f>C20/C19-1</f>
        <v>-0.112277019937041</v>
      </c>
      <c r="H20" s="16">
        <f>(E20+F20-C20)/C20</f>
        <v>-0.74468085106383</v>
      </c>
      <c r="I20" s="16">
        <f>AVERAGE(H17:H20)</f>
        <v>-0.767645056944727</v>
      </c>
      <c r="J20" s="16"/>
      <c r="K20" s="16">
        <f>('Cashflow'!D20-'Cashflow'!C20)/'Cashflow'!C20</f>
        <v>-0.7699530516431921</v>
      </c>
    </row>
    <row r="21" ht="20.05" customHeight="1">
      <c r="B21" s="31"/>
      <c r="C21" s="19">
        <v>929</v>
      </c>
      <c r="D21" s="20"/>
      <c r="E21" s="20">
        <v>85</v>
      </c>
      <c r="F21" s="20">
        <v>189</v>
      </c>
      <c r="G21" s="16">
        <f>C21/C20-1</f>
        <v>0.0981087470449173</v>
      </c>
      <c r="H21" s="16">
        <f>(E21+F21-C21)/C21</f>
        <v>-0.705059203444564</v>
      </c>
      <c r="I21" s="16">
        <f>AVERAGE(H18:H21)</f>
        <v>-0.758330661588374</v>
      </c>
      <c r="J21" s="16"/>
      <c r="K21" s="16">
        <f>('Cashflow'!D21-'Cashflow'!C21)/'Cashflow'!C21</f>
        <v>-0.6152980877390331</v>
      </c>
    </row>
    <row r="22" ht="20.05" customHeight="1">
      <c r="B22" s="31"/>
      <c r="C22" s="19">
        <v>879</v>
      </c>
      <c r="D22" s="20">
        <v>951.3</v>
      </c>
      <c r="E22" s="20">
        <v>103.2</v>
      </c>
      <c r="F22" s="20">
        <v>116.5</v>
      </c>
      <c r="G22" s="16">
        <f>C22/C21-1</f>
        <v>-0.0538213132400431</v>
      </c>
      <c r="H22" s="16">
        <f>(E22+F22-C22)/C22</f>
        <v>-0.750056882821388</v>
      </c>
      <c r="I22" s="16">
        <f>AVERAGE(H19:H22)</f>
        <v>-0.746696348708101</v>
      </c>
      <c r="J22" s="16"/>
      <c r="K22" s="16">
        <f>('Cashflow'!D22-'Cashflow'!C22)/'Cashflow'!C22</f>
        <v>-0.654852320675105</v>
      </c>
    </row>
    <row r="23" ht="20.05" customHeight="1">
      <c r="B23" s="31"/>
      <c r="C23" s="19">
        <v>803</v>
      </c>
      <c r="D23" s="20">
        <v>1048.3</v>
      </c>
      <c r="E23" s="20">
        <v>100.3</v>
      </c>
      <c r="F23" s="20">
        <v>-2.5</v>
      </c>
      <c r="G23" s="16">
        <f>C23/C22-1</f>
        <v>-0.0864618885096701</v>
      </c>
      <c r="H23" s="16">
        <f>(E23+F23-C23)/C23</f>
        <v>-0.878206724782067</v>
      </c>
      <c r="I23" s="16">
        <f>AVERAGE(H20:H23)</f>
        <v>-0.769500915527962</v>
      </c>
      <c r="J23" s="16"/>
      <c r="K23" s="16">
        <f>('Cashflow'!D23-'Cashflow'!C23)/'Cashflow'!C23</f>
        <v>-0.937947494033413</v>
      </c>
    </row>
    <row r="24" ht="20.05" customHeight="1">
      <c r="B24" s="32">
        <v>2020</v>
      </c>
      <c r="C24" s="19">
        <v>750</v>
      </c>
      <c r="D24" s="20">
        <v>803.7</v>
      </c>
      <c r="E24" s="20">
        <v>105</v>
      </c>
      <c r="F24" s="20">
        <v>105.6</v>
      </c>
      <c r="G24" s="16">
        <f>C24/C23-1</f>
        <v>-0.06600249066002491</v>
      </c>
      <c r="H24" s="16">
        <f>(E24+F24-C24)/C24</f>
        <v>-0.7192</v>
      </c>
      <c r="I24" s="16">
        <f>AVERAGE(H21:H24)</f>
        <v>-0.763130702762005</v>
      </c>
      <c r="J24" s="16"/>
      <c r="K24" s="16">
        <f>('Cashflow'!D24-'Cashflow'!C24)/'Cashflow'!C24</f>
        <v>-0.811671087533156</v>
      </c>
    </row>
    <row r="25" ht="20.05" customHeight="1">
      <c r="B25" s="31"/>
      <c r="C25" s="19">
        <f>1363-C24</f>
        <v>613</v>
      </c>
      <c r="D25" s="20">
        <v>761.78</v>
      </c>
      <c r="E25" s="20">
        <v>105</v>
      </c>
      <c r="F25" s="20">
        <f>167-F24</f>
        <v>61.4</v>
      </c>
      <c r="G25" s="16">
        <f>C25/C24-1</f>
        <v>-0.182666666666667</v>
      </c>
      <c r="H25" s="16">
        <f>(E25+F25-C25)/C25</f>
        <v>-0.728548123980424</v>
      </c>
      <c r="I25" s="16">
        <f>AVERAGE(H22:H25)</f>
        <v>-0.76900293289597</v>
      </c>
      <c r="J25" s="16"/>
      <c r="K25" s="16">
        <f>('Cashflow'!D25-'Cashflow'!C25)/'Cashflow'!C25</f>
        <v>-0.627245508982036</v>
      </c>
    </row>
    <row r="26" ht="20.05" customHeight="1">
      <c r="B26" s="31"/>
      <c r="C26" s="19">
        <f>1954.5-SUM(C24:C25)</f>
        <v>591.5</v>
      </c>
      <c r="D26" s="20">
        <v>685.62</v>
      </c>
      <c r="E26" s="20">
        <f>322-SUM(E24:E25)</f>
        <v>112</v>
      </c>
      <c r="F26" s="20">
        <f>120.7-SUM(F24:F25)</f>
        <v>-46.3</v>
      </c>
      <c r="G26" s="16">
        <f>C26/C25-1</f>
        <v>-0.0350734094616639</v>
      </c>
      <c r="H26" s="16">
        <f>(E26+F26-C26)/C26</f>
        <v>-0.888926458157227</v>
      </c>
      <c r="I26" s="16">
        <f>AVERAGE(H23:H26)</f>
        <v>-0.80372032672993</v>
      </c>
      <c r="J26" s="16"/>
      <c r="K26" s="16">
        <f>('Cashflow'!D26-'Cashflow'!C26)/'Cashflow'!C26</f>
        <v>-0.664884430176565</v>
      </c>
    </row>
    <row r="27" ht="20.05" customHeight="1">
      <c r="B27" s="31"/>
      <c r="C27" s="19">
        <v>580.5</v>
      </c>
      <c r="D27" s="20">
        <v>650.65</v>
      </c>
      <c r="E27" s="20">
        <v>127</v>
      </c>
      <c r="F27" s="20">
        <v>38.3</v>
      </c>
      <c r="G27" s="16">
        <f>C27/C26-1</f>
        <v>-0.0185967878275571</v>
      </c>
      <c r="H27" s="16">
        <f>(E27+F27-C27)/C27</f>
        <v>-0.715245478036176</v>
      </c>
      <c r="I27" s="16">
        <f>AVERAGE(H24:H27)</f>
        <v>-0.762980015043457</v>
      </c>
      <c r="J27" s="16"/>
      <c r="K27" s="16">
        <f>('Cashflow'!D27-'Cashflow'!C27)/'Cashflow'!C27</f>
        <v>-0.764320069204152</v>
      </c>
    </row>
    <row r="28" ht="20.05" customHeight="1">
      <c r="B28" s="32">
        <v>2021</v>
      </c>
      <c r="C28" s="19">
        <v>692</v>
      </c>
      <c r="D28" s="20">
        <v>592.11</v>
      </c>
      <c r="E28" s="20">
        <v>137</v>
      </c>
      <c r="F28" s="20">
        <f>75.3</f>
        <v>75.3</v>
      </c>
      <c r="G28" s="16">
        <f>C28/C27-1</f>
        <v>0.19207579672696</v>
      </c>
      <c r="H28" s="16">
        <f>(E28+F28-C28)/C28</f>
        <v>-0.693208092485549</v>
      </c>
      <c r="I28" s="16">
        <f>AVERAGE(H25:H28)</f>
        <v>-0.7564820381648441</v>
      </c>
      <c r="J28" s="16"/>
      <c r="K28" s="16">
        <f>('Cashflow'!D28-'Cashflow'!C28)/'Cashflow'!C28</f>
        <v>-0.7911176183504151</v>
      </c>
    </row>
    <row r="29" ht="20.05" customHeight="1">
      <c r="B29" s="31"/>
      <c r="C29" s="19">
        <f>1562.8-C28</f>
        <v>870.8</v>
      </c>
      <c r="D29" s="20">
        <v>795.8</v>
      </c>
      <c r="E29" s="20">
        <v>137</v>
      </c>
      <c r="F29" s="20">
        <f>189.3-F28</f>
        <v>114</v>
      </c>
      <c r="G29" s="16">
        <f>C29/C28-1</f>
        <v>0.258381502890173</v>
      </c>
      <c r="H29" s="16">
        <f>(E29+F29-C29)/C29</f>
        <v>-0.711759301791456</v>
      </c>
      <c r="I29" s="16">
        <f>AVERAGE(H26:H29)</f>
        <v>-0.752284832617602</v>
      </c>
      <c r="J29" s="16"/>
      <c r="K29" s="16">
        <f>('Cashflow'!D29-'Cashflow'!C29)/'Cashflow'!C29</f>
        <v>-0.655106948487533</v>
      </c>
    </row>
    <row r="30" ht="20.05" customHeight="1">
      <c r="B30" s="31"/>
      <c r="C30" s="19">
        <f>2569.1-SUM(C28:C29)</f>
        <v>1006.3</v>
      </c>
      <c r="D30" s="14">
        <v>870.8</v>
      </c>
      <c r="E30" s="20">
        <v>137</v>
      </c>
      <c r="F30" s="20">
        <f>465.3-SUM(F28:F29)</f>
        <v>276</v>
      </c>
      <c r="G30" s="16">
        <f>C30/C29-1</f>
        <v>0.155604042259991</v>
      </c>
      <c r="H30" s="16">
        <f>(E30+F30-C30)/C30</f>
        <v>-0.5895856106528869</v>
      </c>
      <c r="I30" s="16">
        <f>AVERAGE(H27:H30)</f>
        <v>-0.677449620741517</v>
      </c>
      <c r="J30" s="16"/>
      <c r="K30" s="16">
        <f>('Cashflow'!D30-'Cashflow'!C30)/'Cashflow'!C30</f>
        <v>-0.5510923185341789</v>
      </c>
    </row>
    <row r="31" ht="20.05" customHeight="1">
      <c r="B31" s="31"/>
      <c r="C31" s="19">
        <f>3992.7-C30-C29-C28</f>
        <v>1423.6</v>
      </c>
      <c r="D31" s="14">
        <v>1086.804</v>
      </c>
      <c r="E31" s="20">
        <v>137</v>
      </c>
      <c r="F31" s="20">
        <f>1028.6-F30-F29-F28</f>
        <v>563.3</v>
      </c>
      <c r="G31" s="16">
        <f>C31/C30-1</f>
        <v>0.414687468945642</v>
      </c>
      <c r="H31" s="16">
        <f>(E31+F31-C31)/C31</f>
        <v>-0.508078111829165</v>
      </c>
      <c r="I31" s="16">
        <f>AVERAGE(H28:H31)</f>
        <v>-0.625657779189764</v>
      </c>
      <c r="J31" s="16">
        <f>I31</f>
        <v>-0.625657779189764</v>
      </c>
      <c r="K31" s="16">
        <f>('Cashflow'!D31-'Cashflow'!C31)/'Cashflow'!C31</f>
        <v>-0.564816181898715</v>
      </c>
    </row>
    <row r="32" ht="20.05" customHeight="1">
      <c r="B32" s="32">
        <v>2022</v>
      </c>
      <c r="C32" s="19"/>
      <c r="D32" s="14">
        <f>'Model'!C6</f>
        <v>1380.892</v>
      </c>
      <c r="E32" s="24"/>
      <c r="F32" s="20"/>
      <c r="G32" s="12"/>
      <c r="H32" s="24"/>
      <c r="I32" s="12"/>
      <c r="J32" s="16">
        <f>'Model'!F7</f>
        <v>-0.564816181898715</v>
      </c>
      <c r="K32" s="12"/>
    </row>
    <row r="33" ht="20.05" customHeight="1">
      <c r="B33" s="31"/>
      <c r="C33" s="19"/>
      <c r="D33" s="20">
        <f>'Model'!D6</f>
        <v>1436.12768</v>
      </c>
      <c r="E33" s="20"/>
      <c r="F33" s="20"/>
      <c r="G33" s="12"/>
      <c r="H33" s="12"/>
      <c r="I33" s="12"/>
      <c r="J33" s="12"/>
      <c r="K33" s="12"/>
    </row>
    <row r="34" ht="20.05" customHeight="1">
      <c r="B34" s="31"/>
      <c r="C34" s="19"/>
      <c r="D34" s="20">
        <f>'Model'!E6</f>
        <v>1493.5727872</v>
      </c>
      <c r="E34" s="20"/>
      <c r="F34" s="20"/>
      <c r="G34" s="12"/>
      <c r="H34" s="12"/>
      <c r="I34" s="12"/>
      <c r="J34" s="12"/>
      <c r="K34" s="12"/>
    </row>
    <row r="35" ht="20.05" customHeight="1">
      <c r="B35" s="31"/>
      <c r="C35" s="19"/>
      <c r="D35" s="20">
        <f>'Model'!F6</f>
        <v>1553.315698688</v>
      </c>
      <c r="E35" s="20"/>
      <c r="F35" s="20"/>
      <c r="G35" s="12"/>
      <c r="H35" s="12"/>
      <c r="I35" s="12"/>
      <c r="J35" s="12"/>
      <c r="K35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94531" style="33" customWidth="1"/>
    <col min="2" max="2" width="9.52344" style="33" customWidth="1"/>
    <col min="3" max="3" width="11.8516" style="33" customWidth="1"/>
    <col min="4" max="4" width="12.0859" style="33" customWidth="1"/>
    <col min="5" max="5" width="11.8516" style="33" customWidth="1"/>
    <col min="6" max="14" width="11.0938" style="33" customWidth="1"/>
    <col min="15" max="16384" width="16.3516" style="33" customWidth="1"/>
  </cols>
  <sheetData>
    <row r="1" ht="20.0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47</v>
      </c>
      <c r="D3" t="s" s="5">
        <v>48</v>
      </c>
      <c r="E3" t="s" s="5">
        <v>49</v>
      </c>
      <c r="F3" t="s" s="5">
        <v>10</v>
      </c>
      <c r="G3" t="s" s="5">
        <v>12</v>
      </c>
      <c r="H3" t="s" s="5">
        <v>26</v>
      </c>
      <c r="I3" t="s" s="5">
        <v>11</v>
      </c>
      <c r="J3" t="s" s="5">
        <v>50</v>
      </c>
      <c r="K3" t="s" s="5">
        <v>3</v>
      </c>
      <c r="L3" t="s" s="5">
        <v>36</v>
      </c>
      <c r="M3" t="s" s="5">
        <v>51</v>
      </c>
      <c r="N3" t="s" s="5">
        <v>36</v>
      </c>
    </row>
    <row r="4" ht="20.25" customHeight="1">
      <c r="B4" s="27">
        <v>2015</v>
      </c>
      <c r="C4" s="28"/>
      <c r="D4" s="29">
        <v>68</v>
      </c>
      <c r="E4" s="29">
        <v>-38</v>
      </c>
      <c r="F4" s="29"/>
      <c r="G4" s="29"/>
      <c r="H4" s="29"/>
      <c r="I4" s="29">
        <v>-28</v>
      </c>
      <c r="J4" s="29">
        <f>D4+E4</f>
        <v>30</v>
      </c>
      <c r="K4" s="34"/>
      <c r="L4" s="29"/>
      <c r="M4" s="29">
        <f>-I4</f>
        <v>28</v>
      </c>
      <c r="N4" s="29"/>
    </row>
    <row r="5" ht="20.05" customHeight="1">
      <c r="B5" s="31"/>
      <c r="C5" s="19"/>
      <c r="D5" s="20">
        <v>198</v>
      </c>
      <c r="E5" s="20">
        <v>-24</v>
      </c>
      <c r="F5" s="20"/>
      <c r="G5" s="20"/>
      <c r="H5" s="20"/>
      <c r="I5" s="20">
        <v>-225</v>
      </c>
      <c r="J5" s="20">
        <f>D5+E5</f>
        <v>174</v>
      </c>
      <c r="K5" s="23"/>
      <c r="L5" s="20"/>
      <c r="M5" s="20">
        <f>-I5+M4</f>
        <v>253</v>
      </c>
      <c r="N5" s="20"/>
    </row>
    <row r="6" ht="20.05" customHeight="1">
      <c r="B6" s="31"/>
      <c r="C6" s="19"/>
      <c r="D6" s="20">
        <v>172</v>
      </c>
      <c r="E6" s="20">
        <v>-16</v>
      </c>
      <c r="F6" s="20"/>
      <c r="G6" s="20"/>
      <c r="H6" s="20"/>
      <c r="I6" s="20">
        <v>-53</v>
      </c>
      <c r="J6" s="20">
        <f>D6+E6</f>
        <v>156</v>
      </c>
      <c r="K6" s="23"/>
      <c r="L6" s="20"/>
      <c r="M6" s="20">
        <f>-I6+M5</f>
        <v>306</v>
      </c>
      <c r="N6" s="20"/>
    </row>
    <row r="7" ht="20.05" customHeight="1">
      <c r="B7" s="31"/>
      <c r="C7" s="19"/>
      <c r="D7" s="20">
        <v>74</v>
      </c>
      <c r="E7" s="20">
        <v>-40</v>
      </c>
      <c r="F7" s="20"/>
      <c r="G7" s="20"/>
      <c r="H7" s="20"/>
      <c r="I7" s="20">
        <v>-117</v>
      </c>
      <c r="J7" s="20">
        <f>D7+E7</f>
        <v>34</v>
      </c>
      <c r="K7" s="23"/>
      <c r="L7" s="20"/>
      <c r="M7" s="20">
        <f>-I7+M6</f>
        <v>423</v>
      </c>
      <c r="N7" s="20"/>
    </row>
    <row r="8" ht="20.05" customHeight="1">
      <c r="B8" s="32">
        <v>2016</v>
      </c>
      <c r="C8" s="19"/>
      <c r="D8" s="20">
        <v>107</v>
      </c>
      <c r="E8" s="20">
        <v>-14</v>
      </c>
      <c r="F8" s="20"/>
      <c r="G8" s="20"/>
      <c r="H8" s="20"/>
      <c r="I8" s="20">
        <v>-88</v>
      </c>
      <c r="J8" s="20">
        <f>D8+E8</f>
        <v>93</v>
      </c>
      <c r="K8" s="20">
        <f>AVERAGE(J5:J8)</f>
        <v>114.25</v>
      </c>
      <c r="L8" s="20"/>
      <c r="M8" s="20">
        <f>-I8+M7</f>
        <v>511</v>
      </c>
      <c r="N8" s="20"/>
    </row>
    <row r="9" ht="20.05" customHeight="1">
      <c r="B9" s="31"/>
      <c r="C9" s="19"/>
      <c r="D9" s="20">
        <v>227</v>
      </c>
      <c r="E9" s="20">
        <v>-51</v>
      </c>
      <c r="F9" s="20"/>
      <c r="G9" s="20"/>
      <c r="H9" s="20"/>
      <c r="I9" s="20">
        <v>-58</v>
      </c>
      <c r="J9" s="20">
        <f>D9+E9</f>
        <v>176</v>
      </c>
      <c r="K9" s="20">
        <f>AVERAGE(J6:J9)</f>
        <v>114.75</v>
      </c>
      <c r="L9" s="20"/>
      <c r="M9" s="20">
        <f>-I9+M8</f>
        <v>569</v>
      </c>
      <c r="N9" s="20"/>
    </row>
    <row r="10" ht="20.05" customHeight="1">
      <c r="B10" s="31"/>
      <c r="C10" s="19"/>
      <c r="D10" s="20">
        <v>206</v>
      </c>
      <c r="E10" s="20">
        <v>-14</v>
      </c>
      <c r="F10" s="20"/>
      <c r="G10" s="20"/>
      <c r="H10" s="20"/>
      <c r="I10" s="20">
        <v>-56</v>
      </c>
      <c r="J10" s="20">
        <f>D10+E10</f>
        <v>192</v>
      </c>
      <c r="K10" s="20">
        <f>AVERAGE(J7:J10)</f>
        <v>123.75</v>
      </c>
      <c r="L10" s="20"/>
      <c r="M10" s="20">
        <f>-I10+M9</f>
        <v>625</v>
      </c>
      <c r="N10" s="20"/>
    </row>
    <row r="11" ht="20.05" customHeight="1">
      <c r="B11" s="31"/>
      <c r="C11" s="19"/>
      <c r="D11" s="20">
        <v>136</v>
      </c>
      <c r="E11" s="20">
        <v>-149</v>
      </c>
      <c r="F11" s="20"/>
      <c r="G11" s="20"/>
      <c r="H11" s="20"/>
      <c r="I11" s="20">
        <v>129</v>
      </c>
      <c r="J11" s="20">
        <f>D11+E11</f>
        <v>-13</v>
      </c>
      <c r="K11" s="20">
        <f>AVERAGE(J8:J11)</f>
        <v>112</v>
      </c>
      <c r="L11" s="20"/>
      <c r="M11" s="20">
        <f>-I11+M10</f>
        <v>496</v>
      </c>
      <c r="N11" s="20"/>
    </row>
    <row r="12" ht="20.05" customHeight="1">
      <c r="B12" s="32">
        <v>2017</v>
      </c>
      <c r="C12" s="19">
        <v>818</v>
      </c>
      <c r="D12" s="20">
        <v>230</v>
      </c>
      <c r="E12" s="20">
        <v>-9</v>
      </c>
      <c r="F12" s="20"/>
      <c r="G12" s="20"/>
      <c r="H12" s="20"/>
      <c r="I12" s="20">
        <v>-186</v>
      </c>
      <c r="J12" s="20">
        <f>D12+E12</f>
        <v>221</v>
      </c>
      <c r="K12" s="20">
        <f>AVERAGE(J9:J12)</f>
        <v>144</v>
      </c>
      <c r="L12" s="20"/>
      <c r="M12" s="20">
        <f>-I12+M11</f>
        <v>682</v>
      </c>
      <c r="N12" s="20"/>
    </row>
    <row r="13" ht="20.05" customHeight="1">
      <c r="B13" s="31"/>
      <c r="C13" s="19">
        <v>818</v>
      </c>
      <c r="D13" s="20">
        <v>230</v>
      </c>
      <c r="E13" s="20">
        <v>-20</v>
      </c>
      <c r="F13" s="20"/>
      <c r="G13" s="20"/>
      <c r="H13" s="20"/>
      <c r="I13" s="20">
        <v>-86</v>
      </c>
      <c r="J13" s="20">
        <f>D13+E13</f>
        <v>210</v>
      </c>
      <c r="K13" s="20">
        <f>AVERAGE(J10:J13)</f>
        <v>152.5</v>
      </c>
      <c r="L13" s="20"/>
      <c r="M13" s="20">
        <f>-I13+M12</f>
        <v>768</v>
      </c>
      <c r="N13" s="20"/>
    </row>
    <row r="14" ht="20.05" customHeight="1">
      <c r="B14" s="31"/>
      <c r="C14" s="19">
        <v>818</v>
      </c>
      <c r="D14" s="20">
        <v>357</v>
      </c>
      <c r="E14" s="20">
        <v>-298</v>
      </c>
      <c r="F14" s="20"/>
      <c r="G14" s="20"/>
      <c r="H14" s="20"/>
      <c r="I14" s="20">
        <v>-34</v>
      </c>
      <c r="J14" s="20">
        <f>D14+E14</f>
        <v>59</v>
      </c>
      <c r="K14" s="20">
        <f>AVERAGE(J11:J14)</f>
        <v>119.25</v>
      </c>
      <c r="L14" s="20"/>
      <c r="M14" s="20">
        <f>-I14+M13</f>
        <v>802</v>
      </c>
      <c r="N14" s="20"/>
    </row>
    <row r="15" ht="20.05" customHeight="1">
      <c r="B15" s="31"/>
      <c r="C15" s="19">
        <v>818</v>
      </c>
      <c r="D15" s="20">
        <v>37</v>
      </c>
      <c r="E15" s="20">
        <v>-106</v>
      </c>
      <c r="F15" s="20"/>
      <c r="G15" s="20"/>
      <c r="H15" s="20"/>
      <c r="I15" s="20">
        <v>17</v>
      </c>
      <c r="J15" s="20">
        <f>D15+E15</f>
        <v>-69</v>
      </c>
      <c r="K15" s="20">
        <f>AVERAGE(J12:J15)</f>
        <v>105.25</v>
      </c>
      <c r="L15" s="20"/>
      <c r="M15" s="20">
        <f>-I15+M14</f>
        <v>785</v>
      </c>
      <c r="N15" s="20"/>
    </row>
    <row r="16" ht="20.05" customHeight="1">
      <c r="B16" s="32">
        <v>2018</v>
      </c>
      <c r="C16" s="19">
        <v>891</v>
      </c>
      <c r="D16" s="20">
        <v>208</v>
      </c>
      <c r="E16" s="20">
        <v>-70</v>
      </c>
      <c r="F16" s="20"/>
      <c r="G16" s="20"/>
      <c r="H16" s="20"/>
      <c r="I16" s="20">
        <v>-219</v>
      </c>
      <c r="J16" s="20">
        <f>D16+E16</f>
        <v>138</v>
      </c>
      <c r="K16" s="20">
        <f>AVERAGE(J13:J16)</f>
        <v>84.5</v>
      </c>
      <c r="L16" s="20"/>
      <c r="M16" s="20">
        <f>-I16+M15</f>
        <v>1004</v>
      </c>
      <c r="N16" s="20"/>
    </row>
    <row r="17" ht="20.05" customHeight="1">
      <c r="B17" s="31"/>
      <c r="C17" s="19">
        <v>891</v>
      </c>
      <c r="D17" s="20">
        <v>306</v>
      </c>
      <c r="E17" s="20">
        <v>-139</v>
      </c>
      <c r="F17" s="20"/>
      <c r="G17" s="20"/>
      <c r="H17" s="20"/>
      <c r="I17" s="20">
        <v>-221</v>
      </c>
      <c r="J17" s="20">
        <f>D17+E17</f>
        <v>167</v>
      </c>
      <c r="K17" s="20">
        <f>AVERAGE(J14:J17)</f>
        <v>73.75</v>
      </c>
      <c r="L17" s="20"/>
      <c r="M17" s="20">
        <f>-I17+M16</f>
        <v>1225</v>
      </c>
      <c r="N17" s="20"/>
    </row>
    <row r="18" ht="20.05" customHeight="1">
      <c r="B18" s="31"/>
      <c r="C18" s="19">
        <v>891</v>
      </c>
      <c r="D18" s="20">
        <v>351</v>
      </c>
      <c r="E18" s="20">
        <v>-479.8</v>
      </c>
      <c r="F18" s="20"/>
      <c r="G18" s="20"/>
      <c r="H18" s="20"/>
      <c r="I18" s="20">
        <v>53</v>
      </c>
      <c r="J18" s="20">
        <f>D18+E18</f>
        <v>-128.8</v>
      </c>
      <c r="K18" s="20">
        <f>AVERAGE(J15:J18)</f>
        <v>26.8</v>
      </c>
      <c r="L18" s="20"/>
      <c r="M18" s="20">
        <f>-I18+M17</f>
        <v>1172</v>
      </c>
      <c r="N18" s="20"/>
    </row>
    <row r="19" ht="20.05" customHeight="1">
      <c r="B19" s="31"/>
      <c r="C19" s="19">
        <v>891</v>
      </c>
      <c r="D19" s="20">
        <v>41</v>
      </c>
      <c r="E19" s="20">
        <v>-111.8</v>
      </c>
      <c r="F19" s="20"/>
      <c r="G19" s="20"/>
      <c r="H19" s="20"/>
      <c r="I19" s="20">
        <v>16.2</v>
      </c>
      <c r="J19" s="20">
        <f>D19+E19</f>
        <v>-70.8</v>
      </c>
      <c r="K19" s="20">
        <f>AVERAGE(J16:J19)</f>
        <v>26.35</v>
      </c>
      <c r="L19" s="20"/>
      <c r="M19" s="20">
        <f>-I19+M18</f>
        <v>1155.8</v>
      </c>
      <c r="N19" s="20"/>
    </row>
    <row r="20" ht="20.05" customHeight="1">
      <c r="B20" s="32">
        <v>2019</v>
      </c>
      <c r="C20" s="19">
        <v>852</v>
      </c>
      <c r="D20" s="20">
        <v>196</v>
      </c>
      <c r="E20" s="20">
        <v>-125</v>
      </c>
      <c r="F20" s="20"/>
      <c r="G20" s="20"/>
      <c r="H20" s="20"/>
      <c r="I20" s="20">
        <v>-190</v>
      </c>
      <c r="J20" s="20">
        <f>D20+E20</f>
        <v>71</v>
      </c>
      <c r="K20" s="20">
        <f>AVERAGE(J17:J20)</f>
        <v>9.6</v>
      </c>
      <c r="L20" s="20"/>
      <c r="M20" s="20">
        <f>-I20+M19</f>
        <v>1345.8</v>
      </c>
      <c r="N20" s="20"/>
    </row>
    <row r="21" ht="20.05" customHeight="1">
      <c r="B21" s="31"/>
      <c r="C21" s="19">
        <v>889</v>
      </c>
      <c r="D21" s="20">
        <v>342</v>
      </c>
      <c r="E21" s="20">
        <v>-105</v>
      </c>
      <c r="F21" s="20"/>
      <c r="G21" s="20"/>
      <c r="H21" s="20"/>
      <c r="I21" s="20">
        <v>-156</v>
      </c>
      <c r="J21" s="20">
        <f>D21+E21</f>
        <v>237</v>
      </c>
      <c r="K21" s="20">
        <f>AVERAGE(J18:J21)</f>
        <v>27.1</v>
      </c>
      <c r="L21" s="20"/>
      <c r="M21" s="20">
        <f>-I21+M20</f>
        <v>1501.8</v>
      </c>
      <c r="N21" s="20"/>
    </row>
    <row r="22" ht="20.05" customHeight="1">
      <c r="B22" s="31"/>
      <c r="C22" s="19">
        <v>948</v>
      </c>
      <c r="D22" s="20">
        <v>327.2</v>
      </c>
      <c r="E22" s="20">
        <v>-178</v>
      </c>
      <c r="F22" s="20"/>
      <c r="G22" s="20"/>
      <c r="H22" s="20"/>
      <c r="I22" s="20">
        <v>-36</v>
      </c>
      <c r="J22" s="20">
        <f>D22+E22</f>
        <v>149.2</v>
      </c>
      <c r="K22" s="20">
        <f>AVERAGE(J19:J22)</f>
        <v>96.59999999999999</v>
      </c>
      <c r="L22" s="20"/>
      <c r="M22" s="20">
        <f>-I22+M21</f>
        <v>1537.8</v>
      </c>
      <c r="N22" s="20"/>
    </row>
    <row r="23" ht="20.05" customHeight="1">
      <c r="B23" s="31"/>
      <c r="C23" s="19">
        <v>838</v>
      </c>
      <c r="D23" s="20">
        <v>52</v>
      </c>
      <c r="E23" s="20">
        <v>-138.9</v>
      </c>
      <c r="F23" s="20"/>
      <c r="G23" s="20"/>
      <c r="H23" s="20"/>
      <c r="I23" s="20">
        <v>653.3</v>
      </c>
      <c r="J23" s="20">
        <f>D23+E23</f>
        <v>-86.90000000000001</v>
      </c>
      <c r="K23" s="20">
        <f>AVERAGE(J20:J23)</f>
        <v>92.575</v>
      </c>
      <c r="L23" s="20"/>
      <c r="M23" s="20">
        <f>-I23+M22</f>
        <v>884.5</v>
      </c>
      <c r="N23" s="20"/>
    </row>
    <row r="24" ht="20.05" customHeight="1">
      <c r="B24" s="32">
        <v>2020</v>
      </c>
      <c r="C24" s="19">
        <v>754</v>
      </c>
      <c r="D24" s="20">
        <v>142</v>
      </c>
      <c r="E24" s="20">
        <v>-221.9</v>
      </c>
      <c r="F24" s="20"/>
      <c r="G24" s="20"/>
      <c r="H24" s="20"/>
      <c r="I24" s="20">
        <v>-223</v>
      </c>
      <c r="J24" s="20">
        <f>D24+E24</f>
        <v>-79.90000000000001</v>
      </c>
      <c r="K24" s="20">
        <f>AVERAGE(J21:J24)</f>
        <v>54.85</v>
      </c>
      <c r="L24" s="20"/>
      <c r="M24" s="20">
        <f>-I24+M23</f>
        <v>1107.5</v>
      </c>
      <c r="N24" s="20"/>
    </row>
    <row r="25" ht="20.05" customHeight="1">
      <c r="B25" s="31"/>
      <c r="C25" s="19">
        <v>668</v>
      </c>
      <c r="D25" s="20">
        <f>391-D24</f>
        <v>249</v>
      </c>
      <c r="E25" s="20">
        <f>-302-E24</f>
        <v>-80.09999999999999</v>
      </c>
      <c r="F25" s="20"/>
      <c r="G25" s="20"/>
      <c r="H25" s="20"/>
      <c r="I25" s="20">
        <f>-586-I24</f>
        <v>-363</v>
      </c>
      <c r="J25" s="20">
        <f>D25+E25</f>
        <v>168.9</v>
      </c>
      <c r="K25" s="20">
        <f>AVERAGE(J22:J25)</f>
        <v>37.825</v>
      </c>
      <c r="L25" s="20"/>
      <c r="M25" s="20">
        <f>-I25+M24</f>
        <v>1470.5</v>
      </c>
      <c r="N25" s="20"/>
    </row>
    <row r="26" ht="20.05" customHeight="1">
      <c r="B26" s="31"/>
      <c r="C26" s="19">
        <v>623</v>
      </c>
      <c r="D26" s="20">
        <f>599.777-SUM(D24:D25)</f>
        <v>208.777</v>
      </c>
      <c r="E26" s="20">
        <f>-321.299-SUM(E24:E25)</f>
        <v>-19.299</v>
      </c>
      <c r="F26" s="20"/>
      <c r="G26" s="20"/>
      <c r="H26" s="20"/>
      <c r="I26" s="20">
        <f>-659.866-SUM(I24:I25)</f>
        <v>-73.866</v>
      </c>
      <c r="J26" s="20">
        <f>D26+E26</f>
        <v>189.478</v>
      </c>
      <c r="K26" s="20">
        <f>AVERAGE(J23:J26)</f>
        <v>47.8945</v>
      </c>
      <c r="L26" s="20"/>
      <c r="M26" s="20">
        <f>-I26+M25</f>
        <v>1544.366</v>
      </c>
      <c r="N26" s="20"/>
    </row>
    <row r="27" ht="20.05" customHeight="1">
      <c r="B27" s="31"/>
      <c r="C27" s="19">
        <v>578</v>
      </c>
      <c r="D27" s="20">
        <v>136.223</v>
      </c>
      <c r="E27" s="20">
        <v>-37.701</v>
      </c>
      <c r="F27" s="20"/>
      <c r="G27" s="20"/>
      <c r="H27" s="20"/>
      <c r="I27" s="20">
        <v>-118.134</v>
      </c>
      <c r="J27" s="20">
        <f>D27+E27</f>
        <v>98.52200000000001</v>
      </c>
      <c r="K27" s="20">
        <f>AVERAGE(J24:J27)</f>
        <v>94.25</v>
      </c>
      <c r="L27" s="20"/>
      <c r="M27" s="20">
        <f>-I27+M26</f>
        <v>1662.5</v>
      </c>
      <c r="N27" s="20"/>
    </row>
    <row r="28" ht="20.05" customHeight="1">
      <c r="B28" s="32">
        <v>2021</v>
      </c>
      <c r="C28" s="19">
        <v>614.7</v>
      </c>
      <c r="D28" s="20">
        <v>128.4</v>
      </c>
      <c r="E28" s="20">
        <v>-54.1</v>
      </c>
      <c r="F28" s="20">
        <v>-13.6</v>
      </c>
      <c r="G28" s="20">
        <v>-40</v>
      </c>
      <c r="H28" s="20"/>
      <c r="I28" s="20">
        <f>-53.6</f>
        <v>-53.6</v>
      </c>
      <c r="J28" s="20">
        <f>D28+E28</f>
        <v>74.3</v>
      </c>
      <c r="K28" s="20">
        <f>AVERAGE(J25:J28)</f>
        <v>132.8</v>
      </c>
      <c r="L28" s="20"/>
      <c r="M28" s="20">
        <f>-(G28+H28)+M27</f>
        <v>1702.5</v>
      </c>
      <c r="N28" s="20"/>
    </row>
    <row r="29" ht="20.05" customHeight="1">
      <c r="B29" s="31"/>
      <c r="C29" s="19">
        <f>1404.8-C28</f>
        <v>790.1</v>
      </c>
      <c r="D29" s="20">
        <f>400.9-D28</f>
        <v>272.5</v>
      </c>
      <c r="E29" s="20">
        <f>-399.7-E28</f>
        <v>-345.6</v>
      </c>
      <c r="F29" s="20">
        <f>-28.119-F28</f>
        <v>-14.519</v>
      </c>
      <c r="G29" s="20">
        <f>33.449-F29-F28-G28-H29</f>
        <v>192.359</v>
      </c>
      <c r="H29" s="20">
        <f>-146.815-0.976+57</f>
        <v>-90.791</v>
      </c>
      <c r="I29" s="20">
        <f>36.4-I28</f>
        <v>90</v>
      </c>
      <c r="J29" s="20">
        <f>D29+E29</f>
        <v>-73.09999999999999</v>
      </c>
      <c r="K29" s="20">
        <f>AVERAGE(J26:J29)</f>
        <v>72.3</v>
      </c>
      <c r="L29" s="20"/>
      <c r="M29" s="20">
        <f>-(G29+H29)+M28</f>
        <v>1600.932</v>
      </c>
      <c r="N29" s="20"/>
    </row>
    <row r="30" ht="20.05" customHeight="1">
      <c r="B30" s="31"/>
      <c r="C30" s="19">
        <f>2398.1-SUM(C28:C29)</f>
        <v>993.3</v>
      </c>
      <c r="D30" s="20">
        <f>846.8-SUM(D28:D29)</f>
        <v>445.9</v>
      </c>
      <c r="E30" s="20">
        <f>-528.5-SUM(E28:E29)</f>
        <v>-128.8</v>
      </c>
      <c r="F30" s="20">
        <f>-43.211-F29-F28</f>
        <v>-15.092</v>
      </c>
      <c r="G30" s="20">
        <f>20.756-F30-F29-F28-G29-G28-H30-H29</f>
        <v>5.755</v>
      </c>
      <c r="H30" s="20">
        <f>-146.816-4.331+57-H29</f>
        <v>-3.356</v>
      </c>
      <c r="I30" s="20">
        <f>20.8-SUM(I28:I29)</f>
        <v>-15.6</v>
      </c>
      <c r="J30" s="20">
        <f>D30+E30</f>
        <v>317.1</v>
      </c>
      <c r="K30" s="20">
        <f>AVERAGE(J27:J30)</f>
        <v>104.2055</v>
      </c>
      <c r="L30" s="20"/>
      <c r="M30" s="20">
        <f>-(G30+H30)+M29</f>
        <v>1598.533</v>
      </c>
      <c r="N30" s="20"/>
    </row>
    <row r="31" ht="20.05" customHeight="1">
      <c r="B31" s="31"/>
      <c r="C31" s="19">
        <f>3752.7-C30-C29-C28</f>
        <v>1354.6</v>
      </c>
      <c r="D31" s="20">
        <f>1436.3-D30-D29-D28</f>
        <v>589.5</v>
      </c>
      <c r="E31" s="20">
        <f>-644.6-E30-E29-E28</f>
        <v>-116.1</v>
      </c>
      <c r="F31" s="20">
        <f>-57.5-F30-F29-F28</f>
        <v>-14.289</v>
      </c>
      <c r="G31" s="20">
        <f>813-672.9+3.6-9-11-G30-G29-G28</f>
        <v>-34.414</v>
      </c>
      <c r="H31" s="20">
        <f>-146.8-17.3+46.6-1.4-97-3.6-H30-H29</f>
        <v>-125.353</v>
      </c>
      <c r="I31" s="20">
        <f>-153.4-I30-I29-I28</f>
        <v>-174.2</v>
      </c>
      <c r="J31" s="20">
        <f>D31+E31</f>
        <v>473.4</v>
      </c>
      <c r="K31" s="20">
        <f>AVERAGE(J28:J31)</f>
        <v>197.925</v>
      </c>
      <c r="L31" s="20">
        <f>K31</f>
        <v>197.925</v>
      </c>
      <c r="M31" s="20">
        <f>-(G31+H31)+M30</f>
        <v>1758.3</v>
      </c>
      <c r="N31" s="20">
        <f>M31</f>
        <v>1758.3</v>
      </c>
    </row>
    <row r="32" ht="20.05" customHeight="1">
      <c r="B32" s="32">
        <v>2022</v>
      </c>
      <c r="C32" s="19"/>
      <c r="D32" s="20"/>
      <c r="E32" s="20"/>
      <c r="F32" s="20"/>
      <c r="G32" s="20"/>
      <c r="H32" s="20"/>
      <c r="I32" s="20"/>
      <c r="J32" s="20"/>
      <c r="K32" s="24"/>
      <c r="L32" s="18">
        <f>SUM('Model'!F9:F10)</f>
        <v>559.877856471709</v>
      </c>
      <c r="M32" s="24"/>
      <c r="N32" s="20">
        <f>'Model'!F34</f>
        <v>3340.574718563230</v>
      </c>
    </row>
  </sheetData>
  <mergeCells count="1">
    <mergeCell ref="B2:N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7.41406" style="35" customWidth="1"/>
    <col min="3" max="11" width="10.5859" style="35" customWidth="1"/>
    <col min="12" max="16384" width="16.3516" style="35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52</v>
      </c>
      <c r="C3" t="s" s="5">
        <v>53</v>
      </c>
      <c r="D3" t="s" s="5">
        <v>54</v>
      </c>
      <c r="E3" t="s" s="5">
        <v>55</v>
      </c>
      <c r="F3" t="s" s="5">
        <v>24</v>
      </c>
      <c r="G3" t="s" s="5">
        <v>12</v>
      </c>
      <c r="H3" t="s" s="5">
        <v>26</v>
      </c>
      <c r="I3" t="s" s="5">
        <v>56</v>
      </c>
      <c r="J3" t="s" s="5">
        <v>57</v>
      </c>
      <c r="K3" t="s" s="5">
        <v>36</v>
      </c>
    </row>
    <row r="4" ht="20.25" customHeight="1">
      <c r="B4" s="27">
        <v>2015</v>
      </c>
      <c r="C4" s="28">
        <v>742</v>
      </c>
      <c r="D4" s="29">
        <v>6367</v>
      </c>
      <c r="E4" s="29">
        <f>D4-C4</f>
        <v>5625</v>
      </c>
      <c r="F4" s="29"/>
      <c r="G4" s="29">
        <v>3050</v>
      </c>
      <c r="H4" s="29">
        <v>3317</v>
      </c>
      <c r="I4" s="29">
        <f>G4+H4-C4-E4</f>
        <v>0</v>
      </c>
      <c r="J4" s="29">
        <f>C4-G4</f>
        <v>-2308</v>
      </c>
      <c r="K4" s="29"/>
    </row>
    <row r="5" ht="20.05" customHeight="1">
      <c r="B5" s="31"/>
      <c r="C5" s="19">
        <v>688</v>
      </c>
      <c r="D5" s="20">
        <v>6205</v>
      </c>
      <c r="E5" s="20">
        <f>D5-C5</f>
        <v>5517</v>
      </c>
      <c r="F5" s="20"/>
      <c r="G5" s="20">
        <v>2866</v>
      </c>
      <c r="H5" s="20">
        <v>3338</v>
      </c>
      <c r="I5" s="20">
        <f>G5+H5-C5-E5</f>
        <v>-1</v>
      </c>
      <c r="J5" s="20">
        <f>C5-G5</f>
        <v>-2178</v>
      </c>
      <c r="K5" s="20"/>
    </row>
    <row r="6" ht="20.05" customHeight="1">
      <c r="B6" s="31"/>
      <c r="C6" s="19">
        <v>785</v>
      </c>
      <c r="D6" s="20">
        <v>6215</v>
      </c>
      <c r="E6" s="20">
        <f>D6-C6</f>
        <v>5430</v>
      </c>
      <c r="F6" s="20"/>
      <c r="G6" s="20">
        <v>2815</v>
      </c>
      <c r="H6" s="20">
        <v>3399</v>
      </c>
      <c r="I6" s="20">
        <f>G6+H6-C6-E6</f>
        <v>-1</v>
      </c>
      <c r="J6" s="20">
        <f>C6-G6</f>
        <v>-2030</v>
      </c>
      <c r="K6" s="20"/>
    </row>
    <row r="7" ht="20.05" customHeight="1">
      <c r="B7" s="31"/>
      <c r="C7" s="19">
        <v>702</v>
      </c>
      <c r="D7" s="20">
        <v>5959</v>
      </c>
      <c r="E7" s="20">
        <f>D7-C7</f>
        <v>5257</v>
      </c>
      <c r="F7" s="20"/>
      <c r="G7" s="20">
        <v>2605</v>
      </c>
      <c r="H7" s="20">
        <v>3353</v>
      </c>
      <c r="I7" s="20">
        <f>G7+H7-C7-E7</f>
        <v>-1</v>
      </c>
      <c r="J7" s="20">
        <f>C7-G7</f>
        <v>-1903</v>
      </c>
      <c r="K7" s="20"/>
    </row>
    <row r="8" ht="20.05" customHeight="1">
      <c r="B8" s="32">
        <v>2016</v>
      </c>
      <c r="C8" s="19">
        <v>709</v>
      </c>
      <c r="D8" s="20">
        <v>5949</v>
      </c>
      <c r="E8" s="20">
        <f>D8-C8</f>
        <v>5240</v>
      </c>
      <c r="F8" s="20"/>
      <c r="G8" s="20">
        <v>2532</v>
      </c>
      <c r="H8" s="20">
        <v>3417</v>
      </c>
      <c r="I8" s="20">
        <f>G8+H8-C8-E8</f>
        <v>0</v>
      </c>
      <c r="J8" s="20">
        <f>C8-G8</f>
        <v>-1823</v>
      </c>
      <c r="K8" s="20"/>
    </row>
    <row r="9" ht="20.05" customHeight="1">
      <c r="B9" s="31"/>
      <c r="C9" s="19">
        <v>828</v>
      </c>
      <c r="D9" s="20">
        <v>6042</v>
      </c>
      <c r="E9" s="20">
        <f>D9-C9</f>
        <v>5214</v>
      </c>
      <c r="F9" s="20"/>
      <c r="G9" s="20">
        <v>2601</v>
      </c>
      <c r="H9" s="20">
        <v>3440</v>
      </c>
      <c r="I9" s="20">
        <f>G9+H9-C9-E9</f>
        <v>-1</v>
      </c>
      <c r="J9" s="20">
        <f>C9-G9</f>
        <v>-1773</v>
      </c>
      <c r="K9" s="20"/>
    </row>
    <row r="10" ht="20.05" customHeight="1">
      <c r="B10" s="31"/>
      <c r="C10" s="19">
        <v>964</v>
      </c>
      <c r="D10" s="20">
        <v>6134</v>
      </c>
      <c r="E10" s="20">
        <f>D10-C10</f>
        <v>5170</v>
      </c>
      <c r="F10" s="20"/>
      <c r="G10" s="20">
        <v>2606</v>
      </c>
      <c r="H10" s="20">
        <v>3528</v>
      </c>
      <c r="I10" s="20">
        <f>G10+H10-C10-E10</f>
        <v>0</v>
      </c>
      <c r="J10" s="20">
        <f>C10-G10</f>
        <v>-1642</v>
      </c>
      <c r="K10" s="20"/>
    </row>
    <row r="11" ht="20.05" customHeight="1">
      <c r="B11" s="31"/>
      <c r="C11" s="19">
        <v>1077</v>
      </c>
      <c r="D11" s="20">
        <v>6523</v>
      </c>
      <c r="E11" s="20">
        <f>D11-C11</f>
        <v>5446</v>
      </c>
      <c r="F11" s="20"/>
      <c r="G11" s="20">
        <v>2736</v>
      </c>
      <c r="H11" s="20">
        <v>3786</v>
      </c>
      <c r="I11" s="20">
        <f>G11+H11-C11-E11</f>
        <v>-1</v>
      </c>
      <c r="J11" s="20">
        <f>C11-G11</f>
        <v>-1659</v>
      </c>
      <c r="K11" s="20"/>
    </row>
    <row r="12" ht="20.05" customHeight="1">
      <c r="B12" s="32">
        <v>2017</v>
      </c>
      <c r="C12" s="19">
        <v>1113</v>
      </c>
      <c r="D12" s="20">
        <v>6510</v>
      </c>
      <c r="E12" s="20">
        <f>D12-C12</f>
        <v>5397</v>
      </c>
      <c r="F12" s="20"/>
      <c r="G12" s="20">
        <v>2695</v>
      </c>
      <c r="H12" s="20">
        <v>3815</v>
      </c>
      <c r="I12" s="20">
        <f>G12+H12-C12-E12</f>
        <v>0</v>
      </c>
      <c r="J12" s="20">
        <f>C12-G12</f>
        <v>-1582</v>
      </c>
      <c r="K12" s="20"/>
    </row>
    <row r="13" ht="20.05" customHeight="1">
      <c r="B13" s="31"/>
      <c r="C13" s="19">
        <v>1236</v>
      </c>
      <c r="D13" s="20">
        <v>6569</v>
      </c>
      <c r="E13" s="20">
        <f>D13-C13</f>
        <v>5333</v>
      </c>
      <c r="F13" s="20"/>
      <c r="G13" s="20">
        <v>2672</v>
      </c>
      <c r="H13" s="20">
        <v>3896</v>
      </c>
      <c r="I13" s="20">
        <f>G13+H13-C13-E13</f>
        <v>-1</v>
      </c>
      <c r="J13" s="20">
        <f>C13-G13</f>
        <v>-1436</v>
      </c>
      <c r="K13" s="20"/>
    </row>
    <row r="14" ht="20.05" customHeight="1">
      <c r="B14" s="31"/>
      <c r="C14" s="19">
        <v>1259</v>
      </c>
      <c r="D14" s="20">
        <v>6853</v>
      </c>
      <c r="E14" s="20">
        <f>D14-C14</f>
        <v>5594</v>
      </c>
      <c r="F14" s="20"/>
      <c r="G14" s="20">
        <v>2790</v>
      </c>
      <c r="H14" s="20">
        <v>4062</v>
      </c>
      <c r="I14" s="20">
        <f>G14+H14-C14-E14</f>
        <v>-1</v>
      </c>
      <c r="J14" s="20">
        <f>C14-G14</f>
        <v>-1531</v>
      </c>
      <c r="K14" s="20"/>
    </row>
    <row r="15" ht="20.05" customHeight="1">
      <c r="B15" s="31"/>
      <c r="C15" s="19">
        <v>1207</v>
      </c>
      <c r="D15" s="20">
        <v>6814</v>
      </c>
      <c r="E15" s="20">
        <f>D15-C15</f>
        <v>5607</v>
      </c>
      <c r="F15" s="20"/>
      <c r="G15" s="20">
        <v>2722</v>
      </c>
      <c r="H15" s="20">
        <v>4092</v>
      </c>
      <c r="I15" s="20">
        <f>G15+H15-C15-E15</f>
        <v>0</v>
      </c>
      <c r="J15" s="20">
        <f>C15-G15</f>
        <v>-1515</v>
      </c>
      <c r="K15" s="20"/>
    </row>
    <row r="16" ht="20.05" customHeight="1">
      <c r="B16" s="32">
        <v>2018</v>
      </c>
      <c r="C16" s="19">
        <v>1124</v>
      </c>
      <c r="D16" s="20">
        <v>6769</v>
      </c>
      <c r="E16" s="20">
        <f>D16-C16</f>
        <v>5645</v>
      </c>
      <c r="F16" s="20"/>
      <c r="G16" s="20">
        <v>2606</v>
      </c>
      <c r="H16" s="20">
        <v>4162</v>
      </c>
      <c r="I16" s="20">
        <f>G16+H16-C16-E16</f>
        <v>-1</v>
      </c>
      <c r="J16" s="20">
        <f>C16-G16</f>
        <v>-1482</v>
      </c>
      <c r="K16" s="20"/>
    </row>
    <row r="17" ht="20.05" customHeight="1">
      <c r="B17" s="31"/>
      <c r="C17" s="19">
        <v>1058</v>
      </c>
      <c r="D17" s="20">
        <v>6784</v>
      </c>
      <c r="E17" s="20">
        <f>D17-C17</f>
        <v>5726</v>
      </c>
      <c r="F17" s="20"/>
      <c r="G17" s="20">
        <v>2619</v>
      </c>
      <c r="H17" s="20">
        <v>4166</v>
      </c>
      <c r="I17" s="20">
        <f>G17+H17-C17-E17</f>
        <v>1</v>
      </c>
      <c r="J17" s="20">
        <f>C17-G17</f>
        <v>-1561</v>
      </c>
      <c r="K17" s="20"/>
    </row>
    <row r="18" ht="20.05" customHeight="1">
      <c r="B18" s="31"/>
      <c r="C18" s="19">
        <v>965</v>
      </c>
      <c r="D18" s="20">
        <v>7151</v>
      </c>
      <c r="E18" s="20">
        <f>D18-C18</f>
        <v>6186</v>
      </c>
      <c r="F18" s="20"/>
      <c r="G18" s="20">
        <v>2847</v>
      </c>
      <c r="H18" s="20">
        <v>4305</v>
      </c>
      <c r="I18" s="20">
        <f>G18+H18-C18-E18</f>
        <v>1</v>
      </c>
      <c r="J18" s="20">
        <f>C18-G18</f>
        <v>-1882</v>
      </c>
      <c r="K18" s="20"/>
    </row>
    <row r="19" ht="20.05" customHeight="1">
      <c r="B19" s="31"/>
      <c r="C19" s="19">
        <v>928</v>
      </c>
      <c r="D19" s="20">
        <v>7060</v>
      </c>
      <c r="E19" s="20">
        <f>D19-C19</f>
        <v>6132</v>
      </c>
      <c r="F19" s="20"/>
      <c r="G19" s="20">
        <v>2758</v>
      </c>
      <c r="H19" s="20">
        <v>4303</v>
      </c>
      <c r="I19" s="20">
        <f>G19+H19-C19-E19</f>
        <v>1</v>
      </c>
      <c r="J19" s="20">
        <f>C19-G19</f>
        <v>-1830</v>
      </c>
      <c r="K19" s="20"/>
    </row>
    <row r="20" ht="20.05" customHeight="1">
      <c r="B20" s="32">
        <v>2019</v>
      </c>
      <c r="C20" s="19">
        <v>813</v>
      </c>
      <c r="D20" s="20">
        <v>7028</v>
      </c>
      <c r="E20" s="20">
        <f>D20-C20</f>
        <v>6215</v>
      </c>
      <c r="F20" s="20">
        <f>1889+957</f>
        <v>2846</v>
      </c>
      <c r="G20" s="20">
        <v>2609</v>
      </c>
      <c r="H20" s="20">
        <v>4419</v>
      </c>
      <c r="I20" s="20">
        <f>G20+H20-C20-E20</f>
        <v>0</v>
      </c>
      <c r="J20" s="20">
        <f>C20-G20</f>
        <v>-1796</v>
      </c>
      <c r="K20" s="20"/>
    </row>
    <row r="21" ht="20.05" customHeight="1">
      <c r="B21" s="31"/>
      <c r="C21" s="19">
        <v>895</v>
      </c>
      <c r="D21" s="20">
        <v>7157</v>
      </c>
      <c r="E21" s="20">
        <f>D21-C21</f>
        <v>6262</v>
      </c>
      <c r="F21" s="20">
        <f>989+1942</f>
        <v>2931</v>
      </c>
      <c r="G21" s="20">
        <v>2714</v>
      </c>
      <c r="H21" s="20">
        <v>4443</v>
      </c>
      <c r="I21" s="20">
        <f>G21+H21-C21-E21</f>
        <v>0</v>
      </c>
      <c r="J21" s="20">
        <f>C21-G21</f>
        <v>-1819</v>
      </c>
      <c r="K21" s="20"/>
    </row>
    <row r="22" ht="20.05" customHeight="1">
      <c r="B22" s="31"/>
      <c r="C22" s="19">
        <v>1008</v>
      </c>
      <c r="D22" s="20">
        <v>7241</v>
      </c>
      <c r="E22" s="20">
        <f>D22-C22</f>
        <v>6233</v>
      </c>
      <c r="F22" s="20">
        <f>1996+1024</f>
        <v>3020</v>
      </c>
      <c r="G22" s="20">
        <v>2712</v>
      </c>
      <c r="H22" s="20">
        <v>4529</v>
      </c>
      <c r="I22" s="20">
        <f>G22+H22-C22-E22</f>
        <v>0</v>
      </c>
      <c r="J22" s="20">
        <f>C22-G22</f>
        <v>-1704</v>
      </c>
      <c r="K22" s="20"/>
    </row>
    <row r="23" ht="20.05" customHeight="1">
      <c r="B23" s="31"/>
      <c r="C23" s="19">
        <v>1576</v>
      </c>
      <c r="D23" s="20">
        <v>7216.9</v>
      </c>
      <c r="E23" s="20">
        <f>D23-C23</f>
        <v>5640.9</v>
      </c>
      <c r="F23" s="20">
        <f>2009+1076</f>
        <v>3085</v>
      </c>
      <c r="G23" s="20">
        <v>3233.7</v>
      </c>
      <c r="H23" s="20">
        <v>3983.3</v>
      </c>
      <c r="I23" s="20">
        <f>G23+H23-C23-E23</f>
        <v>0.1</v>
      </c>
      <c r="J23" s="20">
        <f>C23-G23</f>
        <v>-1657.7</v>
      </c>
      <c r="K23" s="20"/>
    </row>
    <row r="24" ht="20.05" customHeight="1">
      <c r="B24" s="32">
        <v>2020</v>
      </c>
      <c r="C24" s="19">
        <v>1251</v>
      </c>
      <c r="D24" s="20">
        <v>6924</v>
      </c>
      <c r="E24" s="20">
        <f>D24-C24</f>
        <v>5673</v>
      </c>
      <c r="F24" s="20">
        <f>2073+1113</f>
        <v>3186</v>
      </c>
      <c r="G24" s="20">
        <v>2946</v>
      </c>
      <c r="H24" s="20">
        <v>3978</v>
      </c>
      <c r="I24" s="20">
        <f>G24+H24-C24-E24</f>
        <v>0</v>
      </c>
      <c r="J24" s="20">
        <f>C24-G24</f>
        <v>-1695</v>
      </c>
      <c r="K24" s="20"/>
    </row>
    <row r="25" ht="20.05" customHeight="1">
      <c r="B25" s="31"/>
      <c r="C25" s="19">
        <v>1075</v>
      </c>
      <c r="D25" s="20">
        <v>6644</v>
      </c>
      <c r="E25" s="20">
        <f>D25-C25</f>
        <v>5569</v>
      </c>
      <c r="F25" s="20">
        <f>2139+1147</f>
        <v>3286</v>
      </c>
      <c r="G25" s="20">
        <v>2695</v>
      </c>
      <c r="H25" s="20">
        <v>3949</v>
      </c>
      <c r="I25" s="20">
        <f>G25+H25-C25-E25</f>
        <v>0</v>
      </c>
      <c r="J25" s="20">
        <f>C25-G25</f>
        <v>-1620</v>
      </c>
      <c r="K25" s="20"/>
    </row>
    <row r="26" ht="20.05" customHeight="1">
      <c r="B26" s="31"/>
      <c r="C26" s="19">
        <v>1186</v>
      </c>
      <c r="D26" s="20">
        <v>6471</v>
      </c>
      <c r="E26" s="20">
        <f>D26-C26</f>
        <v>5285</v>
      </c>
      <c r="F26" s="20">
        <f>2200+1191</f>
        <v>3391</v>
      </c>
      <c r="G26" s="20">
        <v>2582</v>
      </c>
      <c r="H26" s="20">
        <v>3889</v>
      </c>
      <c r="I26" s="20">
        <f>G26+H26-C26-E26</f>
        <v>0</v>
      </c>
      <c r="J26" s="20">
        <f>C26-G26</f>
        <v>-1396</v>
      </c>
      <c r="K26" s="20"/>
    </row>
    <row r="27" ht="20.05" customHeight="1">
      <c r="B27" s="31"/>
      <c r="C27" s="19">
        <v>1174</v>
      </c>
      <c r="D27" s="20">
        <v>6382</v>
      </c>
      <c r="E27" s="20">
        <f>D27-C27</f>
        <v>5208</v>
      </c>
      <c r="F27" s="20">
        <f>F26+'Sales'!E27</f>
        <v>3518</v>
      </c>
      <c r="G27" s="20">
        <v>2430</v>
      </c>
      <c r="H27" s="20">
        <v>3952</v>
      </c>
      <c r="I27" s="20">
        <f>G27+H27-C27-E27</f>
        <v>0</v>
      </c>
      <c r="J27" s="20">
        <f>C27-G27</f>
        <v>-1256</v>
      </c>
      <c r="K27" s="20"/>
    </row>
    <row r="28" ht="20.05" customHeight="1">
      <c r="B28" s="32">
        <v>2021</v>
      </c>
      <c r="C28" s="19">
        <v>1190</v>
      </c>
      <c r="D28" s="20">
        <v>6485</v>
      </c>
      <c r="E28" s="20">
        <f>D28-C28</f>
        <v>5295</v>
      </c>
      <c r="F28" s="20">
        <f>2339+1285+148</f>
        <v>3772</v>
      </c>
      <c r="G28" s="20">
        <v>2385</v>
      </c>
      <c r="H28" s="20">
        <v>4100</v>
      </c>
      <c r="I28" s="20">
        <f>G28+H28-C28-E28</f>
        <v>0</v>
      </c>
      <c r="J28" s="20">
        <f>C28-G28</f>
        <v>-1195</v>
      </c>
      <c r="K28" s="20"/>
    </row>
    <row r="29" ht="20.05" customHeight="1">
      <c r="B29" s="31"/>
      <c r="C29" s="19">
        <v>1208</v>
      </c>
      <c r="D29" s="20">
        <v>6739</v>
      </c>
      <c r="E29" s="20">
        <f>D29-C29</f>
        <v>5531</v>
      </c>
      <c r="F29" s="20">
        <f>2407+6+1334+148</f>
        <v>3895</v>
      </c>
      <c r="G29" s="20">
        <v>2693</v>
      </c>
      <c r="H29" s="20">
        <v>4046</v>
      </c>
      <c r="I29" s="20">
        <f>G29+H29-C29-E29</f>
        <v>0</v>
      </c>
      <c r="J29" s="20">
        <f>C29-G29</f>
        <v>-1485</v>
      </c>
      <c r="K29" s="20"/>
    </row>
    <row r="30" ht="20.05" customHeight="1">
      <c r="B30" s="31"/>
      <c r="C30" s="19">
        <v>1511</v>
      </c>
      <c r="D30" s="20">
        <v>7118</v>
      </c>
      <c r="E30" s="20">
        <f>D30-C30</f>
        <v>5607</v>
      </c>
      <c r="F30" s="20">
        <f>2473+6+1382+148</f>
        <v>4009</v>
      </c>
      <c r="G30" s="20">
        <v>2794</v>
      </c>
      <c r="H30" s="20">
        <v>4324</v>
      </c>
      <c r="I30" s="20">
        <f>G30+H30-C30-E30</f>
        <v>0</v>
      </c>
      <c r="J30" s="20">
        <f>C30-G30</f>
        <v>-1283</v>
      </c>
      <c r="K30" s="20"/>
    </row>
    <row r="31" ht="20.05" customHeight="1">
      <c r="B31" s="31"/>
      <c r="C31" s="19">
        <v>1811</v>
      </c>
      <c r="D31" s="20">
        <v>7586.9</v>
      </c>
      <c r="E31" s="20">
        <f>D31-C31</f>
        <v>5775.9</v>
      </c>
      <c r="F31" s="20">
        <f>F30+'Sales'!E31</f>
        <v>4146</v>
      </c>
      <c r="G31" s="20">
        <v>3128.6</v>
      </c>
      <c r="H31" s="20">
        <f>D31-G31</f>
        <v>4458.3</v>
      </c>
      <c r="I31" s="20">
        <f>G31+H31-C31-E31</f>
        <v>0</v>
      </c>
      <c r="J31" s="20">
        <f>C31-G31</f>
        <v>-1317.6</v>
      </c>
      <c r="K31" s="20">
        <f>J31</f>
        <v>-1317.6</v>
      </c>
    </row>
    <row r="32" ht="20.05" customHeight="1">
      <c r="B32" s="32">
        <v>2022</v>
      </c>
      <c r="C32" s="19"/>
      <c r="D32" s="20"/>
      <c r="E32" s="20"/>
      <c r="F32" s="20"/>
      <c r="G32" s="20"/>
      <c r="H32" s="20"/>
      <c r="I32" s="20"/>
      <c r="J32" s="20"/>
      <c r="K32" s="20">
        <f>'Model'!F31</f>
        <v>-232.061027686780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125" style="36" customWidth="1"/>
    <col min="2" max="2" width="5.97656" style="36" customWidth="1"/>
    <col min="3" max="5" width="10.0703" style="36" customWidth="1"/>
    <col min="6" max="16384" width="16.3516" style="36" customWidth="1"/>
  </cols>
  <sheetData>
    <row r="1" ht="18.45" customHeight="1"/>
    <row r="2" ht="27.65" customHeight="1">
      <c r="B2" t="s" s="2">
        <v>58</v>
      </c>
      <c r="C2" s="2"/>
      <c r="D2" s="2"/>
      <c r="E2" s="2"/>
    </row>
    <row r="3" ht="20.25" customHeight="1">
      <c r="B3" s="4"/>
      <c r="C3" t="s" s="37">
        <v>59</v>
      </c>
      <c r="D3" t="s" s="37">
        <v>39</v>
      </c>
      <c r="E3" t="s" s="37">
        <v>60</v>
      </c>
    </row>
    <row r="4" ht="20.25" customHeight="1">
      <c r="B4" s="27">
        <v>2018</v>
      </c>
      <c r="C4" s="28">
        <v>2130</v>
      </c>
      <c r="D4" s="8"/>
      <c r="E4" s="8"/>
    </row>
    <row r="5" ht="20.05" customHeight="1">
      <c r="B5" s="31"/>
      <c r="C5" s="19">
        <v>1790</v>
      </c>
      <c r="D5" s="24"/>
      <c r="E5" s="24"/>
    </row>
    <row r="6" ht="20.05" customHeight="1">
      <c r="B6" s="31"/>
      <c r="C6" s="19">
        <v>1835</v>
      </c>
      <c r="D6" s="24"/>
      <c r="E6" s="24"/>
    </row>
    <row r="7" ht="20.05" customHeight="1">
      <c r="B7" s="31"/>
      <c r="C7" s="19">
        <v>1215</v>
      </c>
      <c r="D7" s="24"/>
      <c r="E7" s="24"/>
    </row>
    <row r="8" ht="20.05" customHeight="1">
      <c r="B8" s="32">
        <v>2019</v>
      </c>
      <c r="C8" s="19">
        <v>1345</v>
      </c>
      <c r="D8" s="24"/>
      <c r="E8" s="24"/>
    </row>
    <row r="9" ht="20.05" customHeight="1">
      <c r="B9" s="31"/>
      <c r="C9" s="19">
        <v>1360</v>
      </c>
      <c r="D9" s="24"/>
      <c r="E9" s="24"/>
    </row>
    <row r="10" ht="20.05" customHeight="1">
      <c r="B10" s="31"/>
      <c r="C10" s="19">
        <v>1290</v>
      </c>
      <c r="D10" s="20"/>
      <c r="E10" s="20"/>
    </row>
    <row r="11" ht="20.05" customHeight="1">
      <c r="B11" s="31"/>
      <c r="C11" s="19">
        <v>1555</v>
      </c>
      <c r="D11" s="24"/>
      <c r="E11" s="24"/>
    </row>
    <row r="12" ht="20.05" customHeight="1">
      <c r="B12" s="32">
        <v>2020</v>
      </c>
      <c r="C12" s="19">
        <v>990</v>
      </c>
      <c r="D12" s="24"/>
      <c r="E12" s="24"/>
    </row>
    <row r="13" ht="20.05" customHeight="1">
      <c r="B13" s="31"/>
      <c r="C13" s="19">
        <v>995</v>
      </c>
      <c r="D13" s="24"/>
      <c r="E13" s="24"/>
    </row>
    <row r="14" ht="20.05" customHeight="1">
      <c r="B14" s="31"/>
      <c r="C14" s="19">
        <v>1135</v>
      </c>
      <c r="D14" s="24"/>
      <c r="E14" s="24"/>
    </row>
    <row r="15" ht="20.05" customHeight="1">
      <c r="B15" s="31"/>
      <c r="C15" s="19">
        <v>1430</v>
      </c>
      <c r="D15" s="24"/>
      <c r="E15" s="24"/>
    </row>
    <row r="16" ht="20.05" customHeight="1">
      <c r="B16" s="32">
        <v>2021</v>
      </c>
      <c r="C16" s="19">
        <v>1175</v>
      </c>
      <c r="D16" s="24"/>
      <c r="E16" s="24"/>
    </row>
    <row r="17" ht="20.05" customHeight="1">
      <c r="B17" s="31"/>
      <c r="C17" s="19">
        <v>1205</v>
      </c>
      <c r="D17" s="24"/>
      <c r="E17" s="24"/>
    </row>
    <row r="18" ht="20.05" customHeight="1">
      <c r="B18" s="31"/>
      <c r="C18" s="19">
        <v>1760</v>
      </c>
      <c r="D18" s="24"/>
      <c r="E18" s="24"/>
    </row>
    <row r="19" ht="20.05" customHeight="1">
      <c r="B19" s="31"/>
      <c r="C19" s="19">
        <v>2250</v>
      </c>
      <c r="D19" s="24"/>
      <c r="E19" s="24"/>
    </row>
    <row r="20" ht="20.05" customHeight="1">
      <c r="B20" s="32">
        <v>2022</v>
      </c>
      <c r="C20" s="19">
        <v>2610</v>
      </c>
      <c r="D20" s="20">
        <f>C20</f>
        <v>2610</v>
      </c>
      <c r="E20" s="20">
        <v>5168.962383472510</v>
      </c>
    </row>
    <row r="21" ht="20.05" customHeight="1">
      <c r="B21" s="31"/>
      <c r="C21" s="19"/>
      <c r="D21" s="20">
        <f>'Model'!F45</f>
        <v>6664.909749260270</v>
      </c>
      <c r="E21" s="24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7" width="11.0234" style="38" customWidth="1"/>
    <col min="8" max="16384" width="16.3516" style="38" customWidth="1"/>
  </cols>
  <sheetData>
    <row r="1" ht="27.65" customHeight="1">
      <c r="A1" t="s" s="2">
        <v>51</v>
      </c>
      <c r="B1" s="2"/>
      <c r="C1" s="2"/>
      <c r="D1" s="2"/>
      <c r="E1" s="2"/>
      <c r="F1" s="2"/>
      <c r="G1" s="2"/>
    </row>
    <row r="2" ht="20.25" customHeight="1">
      <c r="A2" t="s" s="5">
        <v>1</v>
      </c>
      <c r="B2" t="s" s="5">
        <v>12</v>
      </c>
      <c r="C2" t="s" s="5">
        <v>26</v>
      </c>
      <c r="D2" t="s" s="5">
        <v>61</v>
      </c>
      <c r="E2" t="s" s="5">
        <v>12</v>
      </c>
      <c r="F2" t="s" s="5">
        <v>26</v>
      </c>
      <c r="G2" t="s" s="5">
        <v>61</v>
      </c>
    </row>
    <row r="3" ht="20.25" customHeight="1">
      <c r="A3" s="27">
        <v>2000</v>
      </c>
      <c r="B3" s="28"/>
      <c r="C3" s="29"/>
      <c r="D3" s="29">
        <f>B3+C3</f>
        <v>0</v>
      </c>
      <c r="E3" s="29"/>
      <c r="F3" s="29"/>
      <c r="G3" s="29">
        <f>D3</f>
        <v>0</v>
      </c>
    </row>
    <row r="4" ht="20.05" customHeight="1">
      <c r="A4" s="32">
        <f>1+$A3</f>
        <v>2001</v>
      </c>
      <c r="B4" s="19"/>
      <c r="C4" s="20"/>
      <c r="D4" s="20">
        <f>B4+C4</f>
        <v>0</v>
      </c>
      <c r="E4" s="20"/>
      <c r="F4" s="20"/>
      <c r="G4" s="20">
        <f>D4+G3</f>
        <v>0</v>
      </c>
    </row>
    <row r="5" ht="20.05" customHeight="1">
      <c r="A5" s="32">
        <f>1+$A4</f>
        <v>2002</v>
      </c>
      <c r="B5" s="19"/>
      <c r="C5" s="20"/>
      <c r="D5" s="20">
        <f>B5+C5</f>
        <v>0</v>
      </c>
      <c r="E5" s="20"/>
      <c r="F5" s="20"/>
      <c r="G5" s="20">
        <f>D5+G4</f>
        <v>0</v>
      </c>
    </row>
    <row r="6" ht="20.05" customHeight="1">
      <c r="A6" s="32">
        <f>1+$A5</f>
        <v>2003</v>
      </c>
      <c r="B6" s="19"/>
      <c r="C6" s="20"/>
      <c r="D6" s="20">
        <f>B6+C6</f>
        <v>0</v>
      </c>
      <c r="E6" s="20"/>
      <c r="F6" s="20"/>
      <c r="G6" s="20">
        <f>D6+G5</f>
        <v>0</v>
      </c>
    </row>
    <row r="7" ht="20.05" customHeight="1">
      <c r="A7" s="32">
        <f>1+$A6</f>
        <v>2004</v>
      </c>
      <c r="B7" s="19"/>
      <c r="C7" s="20"/>
      <c r="D7" s="20">
        <f>B7+C7</f>
        <v>0</v>
      </c>
      <c r="E7" s="20"/>
      <c r="F7" s="20"/>
      <c r="G7" s="20">
        <f>D7+G6</f>
        <v>0</v>
      </c>
    </row>
    <row r="8" ht="20.05" customHeight="1">
      <c r="A8" s="32">
        <f>1+$A7</f>
        <v>2005</v>
      </c>
      <c r="B8" s="19">
        <v>846</v>
      </c>
      <c r="C8" s="20">
        <v>30</v>
      </c>
      <c r="D8" s="20">
        <f>B8+C8</f>
        <v>876</v>
      </c>
      <c r="E8" s="20">
        <f>B8+E7</f>
        <v>846</v>
      </c>
      <c r="F8" s="20">
        <f>C8+F7</f>
        <v>30</v>
      </c>
      <c r="G8" s="20">
        <f>D8+G7</f>
        <v>876</v>
      </c>
    </row>
    <row r="9" ht="20.05" customHeight="1">
      <c r="A9" s="32">
        <f>1+$A8</f>
        <v>2006</v>
      </c>
      <c r="B9" s="19">
        <v>138</v>
      </c>
      <c r="C9" s="20">
        <v>1</v>
      </c>
      <c r="D9" s="20">
        <f>B9+C9</f>
        <v>139</v>
      </c>
      <c r="E9" s="20">
        <f>B9+E8</f>
        <v>984</v>
      </c>
      <c r="F9" s="20">
        <f>C9+F8</f>
        <v>31</v>
      </c>
      <c r="G9" s="20">
        <f>D9+G8</f>
        <v>1015</v>
      </c>
    </row>
    <row r="10" ht="20.05" customHeight="1">
      <c r="A10" s="32">
        <f>1+$A9</f>
        <v>2007</v>
      </c>
      <c r="B10" s="19">
        <v>-240.090909090909</v>
      </c>
      <c r="C10" s="20">
        <v>174.545454545455</v>
      </c>
      <c r="D10" s="20">
        <f>B10+C10</f>
        <v>-65.54545454545401</v>
      </c>
      <c r="E10" s="20">
        <f>B10+E9</f>
        <v>743.909090909091</v>
      </c>
      <c r="F10" s="20">
        <f>C10+F9</f>
        <v>205.545454545455</v>
      </c>
      <c r="G10" s="20">
        <f>D10+G9</f>
        <v>949.454545454546</v>
      </c>
    </row>
    <row r="11" ht="20.05" customHeight="1">
      <c r="A11" s="32">
        <f>1+$A10</f>
        <v>2008</v>
      </c>
      <c r="B11" s="19">
        <v>-22.0909090909091</v>
      </c>
      <c r="C11" s="20">
        <v>1113.909090909090</v>
      </c>
      <c r="D11" s="20">
        <f>B11+C11</f>
        <v>1091.818181818180</v>
      </c>
      <c r="E11" s="20">
        <f>B11+E10</f>
        <v>721.818181818182</v>
      </c>
      <c r="F11" s="20">
        <f>C11+F10</f>
        <v>1319.454545454550</v>
      </c>
      <c r="G11" s="20">
        <f>D11+G10</f>
        <v>2041.272727272730</v>
      </c>
    </row>
    <row r="12" ht="20.05" customHeight="1">
      <c r="A12" s="32">
        <f>1+$A11</f>
        <v>2009</v>
      </c>
      <c r="B12" s="19">
        <v>468.545454545455</v>
      </c>
      <c r="C12" s="20">
        <v>-69</v>
      </c>
      <c r="D12" s="20">
        <f>B12+C12</f>
        <v>399.545454545455</v>
      </c>
      <c r="E12" s="20">
        <f>B12+E11</f>
        <v>1190.363636363640</v>
      </c>
      <c r="F12" s="20">
        <f>C12+F11</f>
        <v>1250.454545454550</v>
      </c>
      <c r="G12" s="20">
        <f>D12+G11</f>
        <v>2440.818181818190</v>
      </c>
    </row>
    <row r="13" ht="20.05" customHeight="1">
      <c r="A13" s="32">
        <f>1+$A12</f>
        <v>2010</v>
      </c>
      <c r="B13" s="19">
        <v>-90</v>
      </c>
      <c r="C13" s="20">
        <v>-96</v>
      </c>
      <c r="D13" s="20">
        <f>B13+C13</f>
        <v>-186</v>
      </c>
      <c r="E13" s="20">
        <f>B13+E12</f>
        <v>1100.363636363640</v>
      </c>
      <c r="F13" s="20">
        <f>C13+F12</f>
        <v>1154.454545454550</v>
      </c>
      <c r="G13" s="20">
        <f>D13+G12</f>
        <v>2254.818181818190</v>
      </c>
    </row>
    <row r="14" ht="20.05" customHeight="1">
      <c r="A14" s="32">
        <f>1+$A13</f>
        <v>2011</v>
      </c>
      <c r="B14" s="19">
        <v>544</v>
      </c>
      <c r="C14" s="20">
        <v>-150</v>
      </c>
      <c r="D14" s="20">
        <f>B14+C14</f>
        <v>394</v>
      </c>
      <c r="E14" s="20">
        <f>B14+E13</f>
        <v>1644.363636363640</v>
      </c>
      <c r="F14" s="20">
        <f>C14+F13</f>
        <v>1004.454545454550</v>
      </c>
      <c r="G14" s="20">
        <f>D14+G13</f>
        <v>2648.818181818190</v>
      </c>
    </row>
    <row r="15" ht="20.05" customHeight="1">
      <c r="A15" s="32">
        <f>1+$A14</f>
        <v>2012</v>
      </c>
      <c r="B15" s="19">
        <v>296</v>
      </c>
      <c r="C15" s="20">
        <v>-226</v>
      </c>
      <c r="D15" s="20">
        <f>B15+C15</f>
        <v>70</v>
      </c>
      <c r="E15" s="20">
        <f>B15+E14</f>
        <v>1940.363636363640</v>
      </c>
      <c r="F15" s="20">
        <f>C15+F14</f>
        <v>778.454545454550</v>
      </c>
      <c r="G15" s="20">
        <f>D15+G14</f>
        <v>2718.818181818190</v>
      </c>
    </row>
    <row r="16" ht="20.05" customHeight="1">
      <c r="A16" s="32">
        <f>1+$A15</f>
        <v>2013</v>
      </c>
      <c r="B16" s="19">
        <v>-214</v>
      </c>
      <c r="C16" s="20">
        <v>-76</v>
      </c>
      <c r="D16" s="20">
        <f>B16+C16</f>
        <v>-290</v>
      </c>
      <c r="E16" s="20">
        <f>B16+E15</f>
        <v>1726.363636363640</v>
      </c>
      <c r="F16" s="20">
        <f>C16+F15</f>
        <v>702.454545454550</v>
      </c>
      <c r="G16" s="20">
        <f>D16+G15</f>
        <v>2428.818181818190</v>
      </c>
    </row>
    <row r="17" ht="20.05" customHeight="1">
      <c r="A17" s="32">
        <f>1+$A16</f>
        <v>2014</v>
      </c>
      <c r="B17" s="22">
        <v>-358</v>
      </c>
      <c r="C17" s="23">
        <v>-76</v>
      </c>
      <c r="D17" s="20">
        <f>B17+C17</f>
        <v>-434</v>
      </c>
      <c r="E17" s="20">
        <f>B17+E16</f>
        <v>1368.363636363640</v>
      </c>
      <c r="F17" s="20">
        <f>C17+F16</f>
        <v>626.454545454550</v>
      </c>
      <c r="G17" s="20">
        <f>D17+G16</f>
        <v>1994.818181818190</v>
      </c>
    </row>
    <row r="18" ht="20.05" customHeight="1">
      <c r="A18" s="32">
        <f>1+$A17</f>
        <v>2015</v>
      </c>
      <c r="B18" s="19">
        <v>-305</v>
      </c>
      <c r="C18" s="20">
        <v>-78</v>
      </c>
      <c r="D18" s="20">
        <f>B18+C18</f>
        <v>-383</v>
      </c>
      <c r="E18" s="20">
        <f>B18+E17</f>
        <v>1063.363636363640</v>
      </c>
      <c r="F18" s="20">
        <f>C18+F17</f>
        <v>548.454545454550</v>
      </c>
      <c r="G18" s="20">
        <f>D18+G17</f>
        <v>1611.818181818190</v>
      </c>
    </row>
    <row r="19" ht="20.05" customHeight="1">
      <c r="A19" s="32">
        <f>1+$A18</f>
        <v>2016</v>
      </c>
      <c r="B19" s="19">
        <v>-119</v>
      </c>
      <c r="C19" s="20">
        <v>87</v>
      </c>
      <c r="D19" s="20">
        <f>B19+C19</f>
        <v>-32</v>
      </c>
      <c r="E19" s="20">
        <f>B19+E18</f>
        <v>944.363636363640</v>
      </c>
      <c r="F19" s="20">
        <f>C19+F18</f>
        <v>635.454545454550</v>
      </c>
      <c r="G19" s="20">
        <f>D19+G18</f>
        <v>1579.818181818190</v>
      </c>
    </row>
    <row r="20" ht="20.05" customHeight="1">
      <c r="A20" s="32">
        <f>1+$A19</f>
        <v>2017</v>
      </c>
      <c r="B20" s="19">
        <v>-78</v>
      </c>
      <c r="C20" s="20">
        <v>-175</v>
      </c>
      <c r="D20" s="20">
        <f>B20+C20</f>
        <v>-253</v>
      </c>
      <c r="E20" s="20">
        <f>B20+E19</f>
        <v>866.363636363640</v>
      </c>
      <c r="F20" s="20">
        <f>C20+F19</f>
        <v>460.454545454550</v>
      </c>
      <c r="G20" s="20">
        <f>D20+G19</f>
        <v>1326.818181818190</v>
      </c>
    </row>
    <row r="21" ht="20.05" customHeight="1">
      <c r="A21" s="32">
        <f>1+$A20</f>
        <v>2018</v>
      </c>
      <c r="B21" s="19">
        <v>-41</v>
      </c>
      <c r="C21" s="20">
        <v>-285</v>
      </c>
      <c r="D21" s="20">
        <f>B21+C21</f>
        <v>-326</v>
      </c>
      <c r="E21" s="20">
        <f>B21+E20</f>
        <v>825.363636363640</v>
      </c>
      <c r="F21" s="20">
        <f>C21+F20</f>
        <v>175.454545454550</v>
      </c>
      <c r="G21" s="20">
        <f>D21+G20</f>
        <v>1000.818181818190</v>
      </c>
    </row>
    <row r="22" ht="20.05" customHeight="1">
      <c r="A22" s="32">
        <f>1+$A21</f>
        <v>2019</v>
      </c>
      <c r="B22" s="19">
        <v>533</v>
      </c>
      <c r="C22" s="20">
        <v>-219</v>
      </c>
      <c r="D22" s="20">
        <f>B22+C22</f>
        <v>314</v>
      </c>
      <c r="E22" s="20">
        <f>B22+E21</f>
        <v>1358.363636363640</v>
      </c>
      <c r="F22" s="20">
        <f>C22+F21</f>
        <v>-43.545454545450</v>
      </c>
      <c r="G22" s="20">
        <f>D22+G21</f>
        <v>1314.818181818190</v>
      </c>
    </row>
    <row r="23" ht="20.05" customHeight="1">
      <c r="A23" s="32">
        <f>1+$A22</f>
        <v>2020</v>
      </c>
      <c r="B23" s="19">
        <v>-429</v>
      </c>
      <c r="C23" s="20">
        <v>-284</v>
      </c>
      <c r="D23" s="20">
        <f>B23+C23</f>
        <v>-713</v>
      </c>
      <c r="E23" s="20">
        <f>B23+E22</f>
        <v>929.363636363640</v>
      </c>
      <c r="F23" s="20">
        <f>C23+F22</f>
        <v>-327.545454545450</v>
      </c>
      <c r="G23" s="20">
        <f>D23+G22</f>
        <v>601.8181818181901</v>
      </c>
    </row>
    <row r="24" ht="20.05" customHeight="1">
      <c r="A24" s="32">
        <f>1+$A23</f>
        <v>2021</v>
      </c>
      <c r="B24" s="19">
        <f>SUM('Cashflow'!G28:G31)</f>
        <v>123.7</v>
      </c>
      <c r="C24" s="20">
        <f>SUM('Cashflow'!H28:H31)</f>
        <v>-219.5</v>
      </c>
      <c r="D24" s="20">
        <f>B24+C24</f>
        <v>-95.8</v>
      </c>
      <c r="E24" s="20">
        <f>B24+E23</f>
        <v>1053.063636363640</v>
      </c>
      <c r="F24" s="20">
        <f>C24+F23</f>
        <v>-547.045454545450</v>
      </c>
      <c r="G24" s="20">
        <f>D24+G23</f>
        <v>506.018181818190</v>
      </c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