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<sst xmlns="http://schemas.openxmlformats.org/spreadsheetml/2006/main" uniqueCount="63">
  <si>
    <t>Financial model</t>
  </si>
  <si>
    <t>Rpbn</t>
  </si>
  <si>
    <t>4Q 2022</t>
  </si>
  <si>
    <t>Cash flow</t>
  </si>
  <si>
    <t>Growth</t>
  </si>
  <si>
    <t>Sales</t>
  </si>
  <si>
    <t>Cost ratio</t>
  </si>
  <si>
    <t>Cash costs</t>
  </si>
  <si>
    <t xml:space="preserve">Operating </t>
  </si>
  <si>
    <t xml:space="preserve">Investment 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</si>
  <si>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</si>
  <si>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</si>
  <si>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</si>
  <si>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</si>
  <si>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</si>
  <si>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</si>
  <si>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</si>
  <si>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</si>
  <si>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</si>
  <si>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</si>
  <si>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>Non cash costs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</si>
  <si>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</si>
  <si>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</si>
  <si>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</si>
  <si>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</si>
  <si>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</si>
  <si>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</si>
  <si>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</si>
  <si>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</si>
  <si>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</si>
  <si>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</si>
  <si>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</si>
  <si>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</si>
  <si>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</si>
  <si>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</si>
  <si>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</si>
  <si>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</si>
  <si>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>Value</t>
  </si>
  <si>
    <t>Shares</t>
  </si>
  <si>
    <t xml:space="preserve">Target price </t>
  </si>
  <si>
    <t xml:space="preserve">Current </t>
  </si>
  <si>
    <t>V target</t>
  </si>
  <si>
    <t xml:space="preserve">12 month growth </t>
  </si>
  <si>
    <t xml:space="preserve">Sales forecasts </t>
  </si>
  <si>
    <t>Provision</t>
  </si>
  <si>
    <t xml:space="preserve">Sales growth </t>
  </si>
  <si>
    <t>Sales to assets</t>
  </si>
  <si>
    <t xml:space="preserve">Cost ratio </t>
  </si>
  <si>
    <t>Receipts</t>
  </si>
  <si>
    <t>Lease</t>
  </si>
  <si>
    <t xml:space="preserve">Free cashflow </t>
  </si>
  <si>
    <t>Cash</t>
  </si>
  <si>
    <t>Assets</t>
  </si>
  <si>
    <t>Other Assets</t>
  </si>
  <si>
    <t xml:space="preserve">Non cash asset growth </t>
  </si>
  <si>
    <t xml:space="preserve">Net cash </t>
  </si>
  <si>
    <t>Share price</t>
  </si>
  <si>
    <t>Rp</t>
  </si>
  <si>
    <t>ADMF</t>
  </si>
  <si>
    <t>Target</t>
  </si>
  <si>
    <t xml:space="preserve">Previous </t>
  </si>
  <si>
    <t>Capital</t>
  </si>
  <si>
    <t xml:space="preserve">Total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</si>
</sst>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#,##0%_);[Red]\(#,##0%\)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11864"/>
          <c:y val="0.12368"/>
          <c:w val="0.852847"/>
          <c:h val="0.810337"/>
        </c:manualLayout>
      </c:layout>
      <c:lineChart>
        <c:grouping val="standard"/>
        <c:varyColors val="0"/>
        <c:ser>
          <c:idx val="0"/>
          <c:order val="0"/>
          <c:tx>
            <c:strRef>
              <c:f>'Balance sheet'!$K$3</c:f>
              <c:strCache>
                <c:ptCount val="1"/>
                <c:pt idx="0">
                  <c:v>Non cash asset growth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'Balance sheet'!$B$12:$B$28</c:f>
              <c:strCache>
                <c:ptCount val="17"/>
                <c:pt idx="0">
                  <c:v>2018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2019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2020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2021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>2022</c:v>
                </c:pt>
              </c:strCache>
            </c:strRef>
          </c:cat>
          <c:val>
            <c:numRef>
              <c:f>'Balance sheet'!$K$12:$K$28</c:f>
              <c:numCache>
                <c:ptCount val="17"/>
                <c:pt idx="0">
                  <c:v>0.038648</c:v>
                </c:pt>
                <c:pt idx="1">
                  <c:v>-0.003777</c:v>
                </c:pt>
                <c:pt idx="2">
                  <c:v>0.036925</c:v>
                </c:pt>
                <c:pt idx="3">
                  <c:v>0.018625</c:v>
                </c:pt>
                <c:pt idx="4">
                  <c:v>0.068375</c:v>
                </c:pt>
                <c:pt idx="5">
                  <c:v>-0.010332</c:v>
                </c:pt>
                <c:pt idx="6">
                  <c:v>-0.004188</c:v>
                </c:pt>
                <c:pt idx="7">
                  <c:v>0.019469</c:v>
                </c:pt>
                <c:pt idx="8">
                  <c:v>0.018910</c:v>
                </c:pt>
                <c:pt idx="9">
                  <c:v>-0.128470</c:v>
                </c:pt>
                <c:pt idx="10">
                  <c:v>-0.084967</c:v>
                </c:pt>
                <c:pt idx="11">
                  <c:v>-0.038235</c:v>
                </c:pt>
                <c:pt idx="12">
                  <c:v>-0.049874</c:v>
                </c:pt>
                <c:pt idx="13">
                  <c:v>-0.006062</c:v>
                </c:pt>
                <c:pt idx="14">
                  <c:v>-0.023039</c:v>
                </c:pt>
                <c:pt idx="15">
                  <c:v>-0.042483</c:v>
                </c:pt>
                <c:pt idx="16">
                  <c:v>-0.019232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0.0525"/>
        <c:minorUnit val="0.026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577437"/>
          <c:y val="0"/>
          <c:w val="0.9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80204"/>
          <c:y val="0.0426778"/>
          <c:w val="0.810454"/>
          <c:h val="0.88639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'Capital'!$A$3:$A$18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'Capital'!$E$3:$E$18</c:f>
              <c:numCache>
                <c:ptCount val="16"/>
                <c:pt idx="0">
                  <c:v>1433.000000</c:v>
                </c:pt>
                <c:pt idx="1">
                  <c:v>3764.000000</c:v>
                </c:pt>
                <c:pt idx="2">
                  <c:v>7418.000000</c:v>
                </c:pt>
                <c:pt idx="3">
                  <c:v>9455.000000</c:v>
                </c:pt>
                <c:pt idx="4">
                  <c:v>19422.000000</c:v>
                </c:pt>
                <c:pt idx="5">
                  <c:v>32594.000000</c:v>
                </c:pt>
                <c:pt idx="6">
                  <c:v>36088.000000</c:v>
                </c:pt>
                <c:pt idx="7">
                  <c:v>37449.000000</c:v>
                </c:pt>
                <c:pt idx="8">
                  <c:v>40938.000000</c:v>
                </c:pt>
                <c:pt idx="9">
                  <c:v>38930.000000</c:v>
                </c:pt>
                <c:pt idx="10">
                  <c:v>36686.000000</c:v>
                </c:pt>
                <c:pt idx="11">
                  <c:v>37557.000000</c:v>
                </c:pt>
                <c:pt idx="12">
                  <c:v>38531.000000</c:v>
                </c:pt>
                <c:pt idx="13">
                  <c:v>39842.000000</c:v>
                </c:pt>
                <c:pt idx="14">
                  <c:v>33680.000000</c:v>
                </c:pt>
                <c:pt idx="15">
                  <c:v>27605.000000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'Capital'!$A$3:$A$18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'Capital'!$F$3:$F$18</c:f>
              <c:numCache>
                <c:ptCount val="16"/>
                <c:pt idx="0">
                  <c:v>-238.000000</c:v>
                </c:pt>
                <c:pt idx="1">
                  <c:v>-470.000000</c:v>
                </c:pt>
                <c:pt idx="2">
                  <c:v>-750.000000</c:v>
                </c:pt>
                <c:pt idx="3">
                  <c:v>-1260.000000</c:v>
                </c:pt>
                <c:pt idx="4">
                  <c:v>-1503.000000</c:v>
                </c:pt>
                <c:pt idx="5">
                  <c:v>-2457.000000</c:v>
                </c:pt>
                <c:pt idx="6">
                  <c:v>-3249.000000</c:v>
                </c:pt>
                <c:pt idx="7">
                  <c:v>-3958.000000</c:v>
                </c:pt>
                <c:pt idx="8">
                  <c:v>-6658.000000</c:v>
                </c:pt>
                <c:pt idx="9">
                  <c:v>-7054.000000</c:v>
                </c:pt>
                <c:pt idx="10">
                  <c:v>-7387.000000</c:v>
                </c:pt>
                <c:pt idx="11">
                  <c:v>-7892.000000</c:v>
                </c:pt>
                <c:pt idx="12">
                  <c:v>-8597.000000</c:v>
                </c:pt>
                <c:pt idx="13">
                  <c:v>-9505.000000</c:v>
                </c:pt>
                <c:pt idx="14">
                  <c:v>-10559.000000</c:v>
                </c:pt>
                <c:pt idx="15">
                  <c:v>-11072.000000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'Capital'!$A$3:$A$18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'Capital'!$G$3:$G$18</c:f>
              <c:numCache>
                <c:ptCount val="16"/>
                <c:pt idx="0">
                  <c:v>1195.000000</c:v>
                </c:pt>
                <c:pt idx="1">
                  <c:v>3294.000000</c:v>
                </c:pt>
                <c:pt idx="2">
                  <c:v>6668.000000</c:v>
                </c:pt>
                <c:pt idx="3">
                  <c:v>8195.000000</c:v>
                </c:pt>
                <c:pt idx="4">
                  <c:v>17919.000000</c:v>
                </c:pt>
                <c:pt idx="5">
                  <c:v>30137.000000</c:v>
                </c:pt>
                <c:pt idx="6">
                  <c:v>32839.000000</c:v>
                </c:pt>
                <c:pt idx="7">
                  <c:v>33491.000000</c:v>
                </c:pt>
                <c:pt idx="8">
                  <c:v>34280.000000</c:v>
                </c:pt>
                <c:pt idx="9">
                  <c:v>31876.000000</c:v>
                </c:pt>
                <c:pt idx="10">
                  <c:v>29299.000000</c:v>
                </c:pt>
                <c:pt idx="11">
                  <c:v>29665.000000</c:v>
                </c:pt>
                <c:pt idx="12">
                  <c:v>29934.000000</c:v>
                </c:pt>
                <c:pt idx="13">
                  <c:v>30337.000000</c:v>
                </c:pt>
                <c:pt idx="14">
                  <c:v>23121.000000</c:v>
                </c:pt>
                <c:pt idx="15">
                  <c:v>16533.000000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5625"/>
        <c:minorUnit val="7812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52438"/>
          <c:y val="0.0633109"/>
          <c:w val="0.404892"/>
          <c:h val="0.15303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538928</xdr:colOff>
      <xdr:row>2</xdr:row>
      <xdr:rowOff>113029</xdr:rowOff>
    </xdr:from>
    <xdr:to>
      <xdr:col>13</xdr:col>
      <xdr:colOff>529878</xdr:colOff>
      <xdr:row>47</xdr:row>
      <xdr:rowOff>149305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58528" y="939800"/>
          <a:ext cx="8703151" cy="115240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4</xdr:col>
      <xdr:colOff>193620</xdr:colOff>
      <xdr:row>33</xdr:row>
      <xdr:rowOff>175292</xdr:rowOff>
    </xdr:from>
    <xdr:to>
      <xdr:col>9</xdr:col>
      <xdr:colOff>121021</xdr:colOff>
      <xdr:row>48</xdr:row>
      <xdr:rowOff>194342</xdr:rowOff>
    </xdr:to>
    <xdr:graphicFrame>
      <xdr:nvGraphicFramePr>
        <xdr:cNvPr id="4" name="2D Line Chart"/>
        <xdr:cNvGraphicFramePr/>
      </xdr:nvGraphicFramePr>
      <xdr:xfrm>
        <a:off x="3813120" y="9175782"/>
        <a:ext cx="4181902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300543</xdr:colOff>
      <xdr:row>25</xdr:row>
      <xdr:rowOff>39704</xdr:rowOff>
    </xdr:from>
    <xdr:to>
      <xdr:col>4</xdr:col>
      <xdr:colOff>820023</xdr:colOff>
      <xdr:row>38</xdr:row>
      <xdr:rowOff>241837</xdr:rowOff>
    </xdr:to>
    <xdr:graphicFrame>
      <xdr:nvGraphicFramePr>
        <xdr:cNvPr id="6" name="2D Line Chart"/>
        <xdr:cNvGraphicFramePr/>
      </xdr:nvGraphicFramePr>
      <xdr:xfrm>
        <a:off x="1214943" y="6493844"/>
        <a:ext cx="3262681" cy="348762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733466</xdr:colOff>
      <xdr:row>19</xdr:row>
      <xdr:rowOff>230107</xdr:rowOff>
    </xdr:from>
    <xdr:to>
      <xdr:col>5</xdr:col>
      <xdr:colOff>697534</xdr:colOff>
      <xdr:row>25</xdr:row>
      <xdr:rowOff>134428</xdr:rowOff>
    </xdr:to>
    <xdr:sp>
      <xdr:nvSpPr>
        <xdr:cNvPr id="7" name="ADMF HAS RAISED LOTS OF CAPITAL, BUT PAID BACK SOME RECENTLY"/>
        <xdr:cNvSpPr txBox="1"/>
      </xdr:nvSpPr>
      <xdr:spPr>
        <a:xfrm>
          <a:off x="733466" y="5167867"/>
          <a:ext cx="4536069" cy="14207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ADMF HAS RAISED LOTS OF CAPITAL, BUT PAID BACK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SOME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RECENTLY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85156" style="1" customWidth="1"/>
    <col min="2" max="2" width="14.7656" style="1" customWidth="1"/>
    <col min="3" max="6" width="8.80469" style="1" customWidth="1"/>
    <col min="7" max="16384" width="16.3516" style="1" customWidth="1"/>
  </cols>
  <sheetData>
    <row r="1" ht="37.4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s="4"/>
      <c r="D3" s="4"/>
      <c r="E3" t="s" s="5">
        <v>2</v>
      </c>
      <c r="F3" s="4"/>
    </row>
    <row r="4" ht="20.3" customHeight="1">
      <c r="B4" t="s" s="6">
        <v>3</v>
      </c>
      <c r="C4" s="7">
        <f>AVERAGE('Sales'!H29:H32)</f>
        <v>0.00756851774873669</v>
      </c>
      <c r="D4" s="8"/>
      <c r="E4" s="8"/>
      <c r="F4" s="9">
        <f>AVERAGE(C5:F5)</f>
        <v>0.0525</v>
      </c>
    </row>
    <row r="5" ht="20.1" customHeight="1">
      <c r="B5" t="s" s="10">
        <v>4</v>
      </c>
      <c r="C5" s="11">
        <v>0.03</v>
      </c>
      <c r="D5" s="12">
        <v>0.05</v>
      </c>
      <c r="E5" s="12">
        <v>0.11</v>
      </c>
      <c r="F5" s="12">
        <v>0.02</v>
      </c>
    </row>
    <row r="6" ht="20.1" customHeight="1">
      <c r="B6" t="s" s="10">
        <v>5</v>
      </c>
      <c r="C6" s="13">
        <f>'Sales'!C32*(1+C5)</f>
        <v>2141.37</v>
      </c>
      <c r="D6" s="14">
        <f>C6*(1+D5)</f>
        <v>2248.4385</v>
      </c>
      <c r="E6" s="14">
        <f>D6*(1+E5)</f>
        <v>2495.766735</v>
      </c>
      <c r="F6" s="14">
        <f>E6*(1+F5)</f>
        <v>2545.6820697</v>
      </c>
    </row>
    <row r="7" ht="20.1" customHeight="1">
      <c r="B7" t="s" s="10">
        <v>6</v>
      </c>
      <c r="C7" s="15">
        <f>AVERAGE('Sales'!J31)</f>
        <v>-0.804726524786971</v>
      </c>
      <c r="D7" s="16">
        <f>C7</f>
        <v>-0.804726524786971</v>
      </c>
      <c r="E7" s="16">
        <f>D7</f>
        <v>-0.804726524786971</v>
      </c>
      <c r="F7" s="16">
        <f>E7</f>
        <v>-0.804726524786971</v>
      </c>
    </row>
    <row r="8" ht="20.1" customHeight="1">
      <c r="B8" t="s" s="10">
        <v>7</v>
      </c>
      <c r="C8" s="17">
        <f>C7*C6</f>
        <v>-1723.217238383080</v>
      </c>
      <c r="D8" s="18">
        <f>D7*D6</f>
        <v>-1809.378100302230</v>
      </c>
      <c r="E8" s="18">
        <f>E7*E6</f>
        <v>-2008.409691335480</v>
      </c>
      <c r="F8" s="18">
        <f>F7*F6</f>
        <v>-2048.577885162180</v>
      </c>
    </row>
    <row r="9" ht="20.1" customHeight="1">
      <c r="B9" t="s" s="10">
        <v>8</v>
      </c>
      <c r="C9" s="17">
        <f>C6+C8</f>
        <v>418.152761616920</v>
      </c>
      <c r="D9" s="18">
        <f>D6+D8</f>
        <v>439.060399697770</v>
      </c>
      <c r="E9" s="18">
        <f>E6+E8</f>
        <v>487.357043664520</v>
      </c>
      <c r="F9" s="18">
        <f>F6+F8</f>
        <v>497.104184537820</v>
      </c>
    </row>
    <row r="10" ht="20.05" customHeight="1">
      <c r="B10" t="s" s="10">
        <v>9</v>
      </c>
      <c r="C10" s="17">
        <f>AVERAGE('Cashflow'!E31:E32)</f>
        <v>0.2</v>
      </c>
      <c r="D10" s="18">
        <f>C10</f>
        <v>0.2</v>
      </c>
      <c r="E10" s="18">
        <f>D10</f>
        <v>0.2</v>
      </c>
      <c r="F10" s="18">
        <f>E10</f>
        <v>0.2</v>
      </c>
    </row>
    <row r="11" ht="20.1" customHeight="1">
      <c r="B11" t="s" s="10">
        <v>10</v>
      </c>
      <c r="C11" s="17">
        <f>C12+C15+C13</f>
        <v>-418.352761616920</v>
      </c>
      <c r="D11" s="18">
        <f>D12+D15+D13</f>
        <v>-439.260399697770</v>
      </c>
      <c r="E11" s="18">
        <f>E12+E15+E13</f>
        <v>-487.557043664520</v>
      </c>
      <c r="F11" s="18">
        <f>F12+F15+F13</f>
        <v>-497.304184537820</v>
      </c>
    </row>
    <row r="12" ht="20.1" customHeight="1">
      <c r="B12" t="s" s="10">
        <v>11</v>
      </c>
      <c r="C12" s="17">
        <f>-'Balance sheet'!H28/20</f>
        <v>-813</v>
      </c>
      <c r="D12" s="18">
        <f>-C27/20</f>
        <v>-772.35</v>
      </c>
      <c r="E12" s="18">
        <f>-D27/20</f>
        <v>-733.7325</v>
      </c>
      <c r="F12" s="18">
        <f>-E27/20</f>
        <v>-697.045875</v>
      </c>
    </row>
    <row r="13" ht="20.1" customHeight="1">
      <c r="B13" t="s" s="10">
        <v>12</v>
      </c>
      <c r="C13" s="17">
        <f>-MIN(0,C16)</f>
        <v>518.293066868156</v>
      </c>
      <c r="D13" s="18">
        <f>-MIN(C28,D16)</f>
        <v>463.007720211561</v>
      </c>
      <c r="E13" s="18">
        <f>-MIN(D28,E16)</f>
        <v>390.582569434836</v>
      </c>
      <c r="F13" s="18">
        <f>-MIN(E28,F16)</f>
        <v>347.072945823526</v>
      </c>
    </row>
    <row r="14" ht="20.1" customHeight="1">
      <c r="B14" t="s" s="10">
        <v>13</v>
      </c>
      <c r="C14" s="19">
        <v>0.3</v>
      </c>
      <c r="D14" s="18"/>
      <c r="E14" s="18"/>
      <c r="F14" s="18"/>
    </row>
    <row r="15" ht="20.1" customHeight="1">
      <c r="B15" t="s" s="10">
        <v>14</v>
      </c>
      <c r="C15" s="17">
        <f>IF(C22&gt;0,-C22*$C$14,0)</f>
        <v>-123.645828485076</v>
      </c>
      <c r="D15" s="18">
        <f>IF(D22&gt;0,-D22*$C$14,0)</f>
        <v>-129.918119909331</v>
      </c>
      <c r="E15" s="18">
        <f>IF(E22&gt;0,-E22*$C$14,0)</f>
        <v>-144.407113099356</v>
      </c>
      <c r="F15" s="18">
        <f>IF(F22&gt;0,-F22*$C$14,0)</f>
        <v>-147.331255361346</v>
      </c>
    </row>
    <row r="16" ht="20.05" customHeight="1">
      <c r="B16" t="s" s="10">
        <v>15</v>
      </c>
      <c r="C16" s="17">
        <f>C9+C10+C12+C15</f>
        <v>-518.293066868156</v>
      </c>
      <c r="D16" s="18">
        <f>D9+D10+D12+D15</f>
        <v>-463.007720211561</v>
      </c>
      <c r="E16" s="18">
        <f>E9+E10+E12+E15</f>
        <v>-390.582569434836</v>
      </c>
      <c r="F16" s="18">
        <f>F9+F10+F12+F15</f>
        <v>-347.072945823526</v>
      </c>
    </row>
    <row r="17" ht="20.1" customHeight="1">
      <c r="B17" t="s" s="10">
        <v>16</v>
      </c>
      <c r="C17" s="17">
        <f>'Balance sheet'!C28</f>
        <v>3198.8</v>
      </c>
      <c r="D17" s="18">
        <f>C19</f>
        <v>3198.8</v>
      </c>
      <c r="E17" s="18">
        <f>D19</f>
        <v>3198.8</v>
      </c>
      <c r="F17" s="18">
        <f>E19</f>
        <v>3198.8</v>
      </c>
    </row>
    <row r="18" ht="20.1" customHeight="1">
      <c r="B18" t="s" s="10">
        <v>17</v>
      </c>
      <c r="C18" s="17">
        <f>C9+C10+C11</f>
        <v>0</v>
      </c>
      <c r="D18" s="18">
        <f>D9+D10+D11</f>
        <v>0</v>
      </c>
      <c r="E18" s="18">
        <f>E9+E10+E11</f>
        <v>0</v>
      </c>
      <c r="F18" s="18">
        <f>F9+F10+F11</f>
        <v>0</v>
      </c>
    </row>
    <row r="19" ht="20.1" customHeight="1">
      <c r="B19" t="s" s="10">
        <v>18</v>
      </c>
      <c r="C19" s="17">
        <f>C17+C18</f>
        <v>3198.8</v>
      </c>
      <c r="D19" s="18">
        <f>D17+D18</f>
        <v>3198.8</v>
      </c>
      <c r="E19" s="18">
        <f>E17+E18</f>
        <v>3198.8</v>
      </c>
      <c r="F19" s="18">
        <f>F17+F18</f>
        <v>3198.8</v>
      </c>
    </row>
    <row r="20" ht="20.1" customHeight="1">
      <c r="B20" t="s" s="20">
        <v>19</v>
      </c>
      <c r="C20" s="21"/>
      <c r="D20" s="22"/>
      <c r="E20" s="22"/>
      <c r="F20" s="23"/>
    </row>
    <row r="21" ht="20.1" customHeight="1">
      <c r="B21" t="s" s="10">
        <v>20</v>
      </c>
      <c r="C21" s="17">
        <f>-AVERAGE('Sales'!E32)</f>
        <v>-6</v>
      </c>
      <c r="D21" s="18">
        <f>C21</f>
        <v>-6</v>
      </c>
      <c r="E21" s="18">
        <f>D21</f>
        <v>-6</v>
      </c>
      <c r="F21" s="18">
        <f>E21</f>
        <v>-6</v>
      </c>
    </row>
    <row r="22" ht="20.1" customHeight="1">
      <c r="B22" t="s" s="10">
        <v>21</v>
      </c>
      <c r="C22" s="17">
        <f>C6+C8+C21</f>
        <v>412.152761616920</v>
      </c>
      <c r="D22" s="18">
        <f>D6+D8+D21</f>
        <v>433.060399697770</v>
      </c>
      <c r="E22" s="18">
        <f>E6+E8+E21</f>
        <v>481.357043664520</v>
      </c>
      <c r="F22" s="18">
        <f>F6+F8+F21</f>
        <v>491.104184537820</v>
      </c>
    </row>
    <row r="23" ht="20.1" customHeight="1">
      <c r="B23" t="s" s="20">
        <v>22</v>
      </c>
      <c r="C23" s="21"/>
      <c r="D23" s="22"/>
      <c r="E23" s="22"/>
      <c r="F23" s="22"/>
    </row>
    <row r="24" ht="20.1" customHeight="1">
      <c r="B24" t="s" s="10">
        <v>23</v>
      </c>
      <c r="C24" s="17">
        <f>'Balance sheet'!F28+'Balance sheet'!E28-C10</f>
        <v>22778</v>
      </c>
      <c r="D24" s="18">
        <f>C24-D10</f>
        <v>22777.8</v>
      </c>
      <c r="E24" s="18">
        <f>D24-E10</f>
        <v>22777.6</v>
      </c>
      <c r="F24" s="18">
        <f>E24-F10</f>
        <v>22777.4</v>
      </c>
    </row>
    <row r="25" ht="20.1" customHeight="1">
      <c r="B25" t="s" s="10">
        <v>24</v>
      </c>
      <c r="C25" s="17">
        <f>'Balance sheet'!F28-C21</f>
        <v>1121</v>
      </c>
      <c r="D25" s="18">
        <f>C25-D21</f>
        <v>1127</v>
      </c>
      <c r="E25" s="18">
        <f>D25-E21</f>
        <v>1133</v>
      </c>
      <c r="F25" s="18">
        <f>E25-F21</f>
        <v>1139</v>
      </c>
    </row>
    <row r="26" ht="20.1" customHeight="1">
      <c r="B26" t="s" s="10">
        <v>25</v>
      </c>
      <c r="C26" s="17">
        <f>C24-C25</f>
        <v>21657</v>
      </c>
      <c r="D26" s="18">
        <f>D24-D25</f>
        <v>21650.8</v>
      </c>
      <c r="E26" s="18">
        <f>E24-E25</f>
        <v>21644.6</v>
      </c>
      <c r="F26" s="18">
        <f>F24-F25</f>
        <v>21638.4</v>
      </c>
    </row>
    <row r="27" ht="20.1" customHeight="1">
      <c r="B27" t="s" s="10">
        <v>11</v>
      </c>
      <c r="C27" s="17">
        <f>'Balance sheet'!H28+C12</f>
        <v>15447</v>
      </c>
      <c r="D27" s="18">
        <f>C27+D12</f>
        <v>14674.65</v>
      </c>
      <c r="E27" s="18">
        <f>D27+E12</f>
        <v>13940.9175</v>
      </c>
      <c r="F27" s="18">
        <f>E27+F12</f>
        <v>13243.871625</v>
      </c>
    </row>
    <row r="28" ht="20.1" customHeight="1">
      <c r="B28" t="s" s="10">
        <v>12</v>
      </c>
      <c r="C28" s="17">
        <f>C13</f>
        <v>518.293066868156</v>
      </c>
      <c r="D28" s="18">
        <f>C28+D13</f>
        <v>981.300787079717</v>
      </c>
      <c r="E28" s="18">
        <f>D28+E13</f>
        <v>1371.883356514550</v>
      </c>
      <c r="F28" s="18">
        <f>E28+F13</f>
        <v>1718.956302338080</v>
      </c>
    </row>
    <row r="29" ht="20.1" customHeight="1">
      <c r="B29" t="s" s="10">
        <v>26</v>
      </c>
      <c r="C29" s="17">
        <f>'Balance sheet'!I28+C22+C15</f>
        <v>8890.506933131839</v>
      </c>
      <c r="D29" s="18">
        <f>C29+D22+D15</f>
        <v>9193.649212920280</v>
      </c>
      <c r="E29" s="18">
        <f>D29+E22+E15</f>
        <v>9530.599143485440</v>
      </c>
      <c r="F29" s="18">
        <f>E29+F22+F15</f>
        <v>9874.372072661910</v>
      </c>
    </row>
    <row r="30" ht="20.1" customHeight="1">
      <c r="B30" t="s" s="10">
        <v>27</v>
      </c>
      <c r="C30" s="17">
        <f>C27+C28+C29-C19-C26</f>
        <v>-4e-12</v>
      </c>
      <c r="D30" s="18">
        <f>D27+D28+D29-D19-D26</f>
        <v>-3e-12</v>
      </c>
      <c r="E30" s="18">
        <f>E27+E28+E29-E19-E26</f>
        <v>-9.999999999999999e-12</v>
      </c>
      <c r="F30" s="18">
        <f>F27+F28+F29-F19-F26</f>
        <v>-9.999999999999999e-12</v>
      </c>
    </row>
    <row r="31" ht="20.1" customHeight="1">
      <c r="B31" t="s" s="10">
        <v>28</v>
      </c>
      <c r="C31" s="17">
        <f>C19-C27-C28</f>
        <v>-12766.4930668682</v>
      </c>
      <c r="D31" s="18">
        <f>D19-D27-D28</f>
        <v>-12457.1507870797</v>
      </c>
      <c r="E31" s="18">
        <f>E19-E27-E28</f>
        <v>-12114.0008565146</v>
      </c>
      <c r="F31" s="18">
        <f>F19-F27-F28</f>
        <v>-11764.0279273381</v>
      </c>
    </row>
    <row r="32" ht="20.1" customHeight="1">
      <c r="B32" t="s" s="20">
        <v>29</v>
      </c>
      <c r="C32" s="21"/>
      <c r="D32" s="22"/>
      <c r="E32" s="22"/>
      <c r="F32" s="22"/>
    </row>
    <row r="33" ht="20.1" customHeight="1">
      <c r="B33" t="s" s="10">
        <v>30</v>
      </c>
      <c r="C33" s="17">
        <f>'Cashflow'!M32-C11</f>
        <v>23989.5527616169</v>
      </c>
      <c r="D33" s="18">
        <f>C33-D11</f>
        <v>24428.8131613147</v>
      </c>
      <c r="E33" s="18">
        <f>D33-E11</f>
        <v>24916.3702049792</v>
      </c>
      <c r="F33" s="18">
        <f>E33-F11</f>
        <v>25413.674389517</v>
      </c>
    </row>
    <row r="34" ht="20.1" customHeight="1">
      <c r="B34" t="s" s="10">
        <v>31</v>
      </c>
      <c r="C34" s="21"/>
      <c r="D34" s="22"/>
      <c r="E34" s="22"/>
      <c r="F34" s="18">
        <v>8300000000000</v>
      </c>
    </row>
    <row r="35" ht="20.1" customHeight="1">
      <c r="B35" t="s" s="10">
        <v>31</v>
      </c>
      <c r="C35" s="21"/>
      <c r="D35" s="22"/>
      <c r="E35" s="22"/>
      <c r="F35" s="18">
        <f>F34/1000000000</f>
        <v>8300</v>
      </c>
    </row>
    <row r="36" ht="20.1" customHeight="1">
      <c r="B36" t="s" s="10">
        <v>32</v>
      </c>
      <c r="C36" s="21"/>
      <c r="D36" s="22"/>
      <c r="E36" s="22"/>
      <c r="F36" s="24">
        <f>F35/(F19+F26)</f>
        <v>0.334176155122155</v>
      </c>
    </row>
    <row r="37" ht="20.1" customHeight="1">
      <c r="B37" t="s" s="10">
        <v>33</v>
      </c>
      <c r="C37" s="21"/>
      <c r="D37" s="22"/>
      <c r="E37" s="22"/>
      <c r="F37" s="12">
        <f>-(C15+D15+E15+F15)/F35</f>
        <v>0.06569907431989271</v>
      </c>
    </row>
    <row r="38" ht="20.1" customHeight="1">
      <c r="B38" t="s" s="10">
        <v>34</v>
      </c>
      <c r="C38" s="21"/>
      <c r="D38" s="22"/>
      <c r="E38" s="22"/>
      <c r="F38" s="18">
        <f>SUM(C9:F10)</f>
        <v>1842.474389517030</v>
      </c>
    </row>
    <row r="39" ht="20.1" customHeight="1">
      <c r="B39" t="s" s="10">
        <v>35</v>
      </c>
      <c r="C39" s="21"/>
      <c r="D39" s="22"/>
      <c r="E39" s="22"/>
      <c r="F39" s="25">
        <f>'Balance sheet'!E28/F38</f>
        <v>11.7576668219951</v>
      </c>
    </row>
    <row r="40" ht="20.1" customHeight="1">
      <c r="B40" t="s" s="10">
        <v>29</v>
      </c>
      <c r="C40" s="21"/>
      <c r="D40" s="22"/>
      <c r="E40" s="22"/>
      <c r="F40" s="25">
        <f>F35/F38</f>
        <v>4.50481159858927</v>
      </c>
    </row>
    <row r="41" ht="20.1" customHeight="1">
      <c r="B41" t="s" s="10">
        <v>36</v>
      </c>
      <c r="C41" s="21"/>
      <c r="D41" s="22"/>
      <c r="E41" s="22"/>
      <c r="F41" s="22">
        <v>6.5</v>
      </c>
    </row>
    <row r="42" ht="20.1" customHeight="1">
      <c r="B42" t="s" s="10">
        <v>37</v>
      </c>
      <c r="C42" s="21"/>
      <c r="D42" s="22"/>
      <c r="E42" s="22"/>
      <c r="F42" s="18">
        <f>F38*F41</f>
        <v>11976.0835318607</v>
      </c>
    </row>
    <row r="43" ht="20.1" customHeight="1">
      <c r="B43" t="s" s="10">
        <v>38</v>
      </c>
      <c r="C43" s="21"/>
      <c r="D43" s="22"/>
      <c r="E43" s="22"/>
      <c r="F43" s="25">
        <f>F35/F45</f>
        <v>1</v>
      </c>
    </row>
    <row r="44" ht="20.1" customHeight="1">
      <c r="B44" t="s" s="10">
        <v>39</v>
      </c>
      <c r="C44" s="21"/>
      <c r="D44" s="22"/>
      <c r="E44" s="22"/>
      <c r="F44" s="18">
        <f>F42/F43</f>
        <v>11976.0835318607</v>
      </c>
    </row>
    <row r="45" ht="20.1" customHeight="1">
      <c r="B45" t="s" s="10">
        <v>40</v>
      </c>
      <c r="C45" s="21"/>
      <c r="D45" s="22"/>
      <c r="E45" s="22"/>
      <c r="F45" s="18">
        <v>8300</v>
      </c>
    </row>
    <row r="46" ht="20.1" customHeight="1">
      <c r="B46" t="s" s="10">
        <v>41</v>
      </c>
      <c r="C46" s="21"/>
      <c r="D46" s="22"/>
      <c r="E46" s="22"/>
      <c r="F46" s="12">
        <f>F44/F45-1</f>
        <v>0.442901630344663</v>
      </c>
    </row>
    <row r="47" ht="20.1" customHeight="1">
      <c r="B47" t="s" s="10">
        <v>42</v>
      </c>
      <c r="C47" s="21"/>
      <c r="D47" s="22"/>
      <c r="E47" s="22"/>
      <c r="F47" s="12">
        <f>'Sales'!C32/'Sales'!C28-1</f>
        <v>0.0127630553390491</v>
      </c>
    </row>
    <row r="48" ht="20.1" customHeight="1">
      <c r="B48" t="s" s="10">
        <v>43</v>
      </c>
      <c r="C48" s="21"/>
      <c r="D48" s="22"/>
      <c r="E48" s="22"/>
      <c r="F48" s="12">
        <f>'Sales'!F35/'Sales'!E35-1</f>
        <v>0.100051948051948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23438" style="26" customWidth="1"/>
    <col min="2" max="2" width="10.3984" style="26" customWidth="1"/>
    <col min="3" max="12" width="10.4844" style="26" customWidth="1"/>
    <col min="13" max="16384" width="16.3516" style="26" customWidth="1"/>
  </cols>
  <sheetData>
    <row r="1" ht="17.4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5">
        <v>1</v>
      </c>
      <c r="C3" t="s" s="5">
        <v>5</v>
      </c>
      <c r="D3" t="s" s="5">
        <v>36</v>
      </c>
      <c r="E3" t="s" s="5">
        <v>24</v>
      </c>
      <c r="F3" t="s" s="5">
        <v>44</v>
      </c>
      <c r="G3" t="s" s="5">
        <v>21</v>
      </c>
      <c r="H3" t="s" s="5">
        <v>45</v>
      </c>
      <c r="I3" t="s" s="5">
        <v>46</v>
      </c>
      <c r="J3" t="s" s="5">
        <v>47</v>
      </c>
      <c r="K3" t="s" s="5">
        <v>47</v>
      </c>
      <c r="L3" t="s" s="5">
        <v>36</v>
      </c>
    </row>
    <row r="4" ht="20.25" customHeight="1">
      <c r="B4" s="27">
        <v>2015</v>
      </c>
      <c r="C4" s="28">
        <v>1937</v>
      </c>
      <c r="D4" s="29"/>
      <c r="E4" s="29">
        <v>11.3</v>
      </c>
      <c r="F4" s="29">
        <v>461.6</v>
      </c>
      <c r="G4" s="29">
        <v>76.09999999999999</v>
      </c>
      <c r="H4" s="9"/>
      <c r="I4" s="30"/>
      <c r="J4" s="30">
        <f>(E4+G4-C4)/C4</f>
        <v>-0.954878678368611</v>
      </c>
      <c r="K4" s="8"/>
      <c r="L4" s="8"/>
    </row>
    <row r="5" ht="20.05" customHeight="1">
      <c r="B5" s="31"/>
      <c r="C5" s="13">
        <v>1990.9</v>
      </c>
      <c r="D5" s="14"/>
      <c r="E5" s="14">
        <v>11</v>
      </c>
      <c r="F5" s="14">
        <v>455.6</v>
      </c>
      <c r="G5" s="14">
        <v>121.9</v>
      </c>
      <c r="H5" s="16">
        <f>C5/C4-1</f>
        <v>0.0278265358802272</v>
      </c>
      <c r="I5" s="16"/>
      <c r="J5" s="16">
        <f>(E5+G5-C5)/C5</f>
        <v>-0.933246270530916</v>
      </c>
      <c r="K5" s="23"/>
      <c r="L5" s="23"/>
    </row>
    <row r="6" ht="20.05" customHeight="1">
      <c r="B6" s="31"/>
      <c r="C6" s="13">
        <v>2062.5</v>
      </c>
      <c r="D6" s="14"/>
      <c r="E6" s="14">
        <v>10.6</v>
      </c>
      <c r="F6" s="14">
        <v>466.7</v>
      </c>
      <c r="G6" s="14">
        <v>225.3</v>
      </c>
      <c r="H6" s="16">
        <f>C6/C5-1</f>
        <v>0.035963634537144</v>
      </c>
      <c r="I6" s="16"/>
      <c r="J6" s="16">
        <f>(E6+G6-C6)/C6</f>
        <v>-0.885624242424242</v>
      </c>
      <c r="K6" s="23"/>
      <c r="L6" s="23"/>
    </row>
    <row r="7" ht="20.05" customHeight="1">
      <c r="B7" s="31"/>
      <c r="C7" s="13">
        <v>2075.9</v>
      </c>
      <c r="D7" s="14"/>
      <c r="E7" s="14">
        <v>73.8</v>
      </c>
      <c r="F7" s="14">
        <v>394.1</v>
      </c>
      <c r="G7" s="14">
        <v>241.5</v>
      </c>
      <c r="H7" s="16">
        <f>C7/C6-1</f>
        <v>0.0064969696969697</v>
      </c>
      <c r="I7" s="16"/>
      <c r="J7" s="16">
        <f>(E7+G7-C7)/C7</f>
        <v>-0.848114071005347</v>
      </c>
      <c r="K7" s="23"/>
      <c r="L7" s="23"/>
    </row>
    <row r="8" ht="20.05" customHeight="1">
      <c r="B8" s="32">
        <v>2016</v>
      </c>
      <c r="C8" s="13">
        <v>2032.2</v>
      </c>
      <c r="D8" s="14"/>
      <c r="E8" s="14">
        <v>9.300000000000001</v>
      </c>
      <c r="F8" s="14">
        <v>363.8</v>
      </c>
      <c r="G8" s="14">
        <v>285.6</v>
      </c>
      <c r="H8" s="16">
        <f>C8/C7-1</f>
        <v>-0.0210511103617708</v>
      </c>
      <c r="I8" s="16"/>
      <c r="J8" s="16">
        <f>(E8+G8-C8)/C8</f>
        <v>-0.854886330085621</v>
      </c>
      <c r="K8" s="23"/>
      <c r="L8" s="23"/>
    </row>
    <row r="9" ht="20.05" customHeight="1">
      <c r="B9" s="31"/>
      <c r="C9" s="13">
        <v>2082.6</v>
      </c>
      <c r="D9" s="14"/>
      <c r="E9" s="14">
        <v>42</v>
      </c>
      <c r="F9" s="14">
        <v>426.1</v>
      </c>
      <c r="G9" s="14">
        <v>307</v>
      </c>
      <c r="H9" s="16">
        <f>C9/C8-1</f>
        <v>0.024800708591674</v>
      </c>
      <c r="I9" s="16"/>
      <c r="J9" s="16">
        <f>(E9+G9-C9)/C9</f>
        <v>-0.8324210121962931</v>
      </c>
      <c r="K9" s="23"/>
      <c r="L9" s="23"/>
    </row>
    <row r="10" ht="20.05" customHeight="1">
      <c r="B10" s="31"/>
      <c r="C10" s="13">
        <v>2119.3</v>
      </c>
      <c r="D10" s="14"/>
      <c r="E10" s="14">
        <v>-24.4</v>
      </c>
      <c r="F10" s="14">
        <v>426.7</v>
      </c>
      <c r="G10" s="14">
        <v>311.2</v>
      </c>
      <c r="H10" s="16">
        <f>C10/C9-1</f>
        <v>0.0176222030154614</v>
      </c>
      <c r="I10" s="16"/>
      <c r="J10" s="16">
        <f>(E10+G10-C10)/C10</f>
        <v>-0.864672297456707</v>
      </c>
      <c r="K10" s="23"/>
      <c r="L10" s="23"/>
    </row>
    <row r="11" ht="20.05" customHeight="1">
      <c r="B11" s="31"/>
      <c r="C11" s="13">
        <v>2179</v>
      </c>
      <c r="D11" s="14"/>
      <c r="E11" s="14">
        <v>7.8</v>
      </c>
      <c r="F11" s="14">
        <v>435.7</v>
      </c>
      <c r="G11" s="14">
        <v>105.5</v>
      </c>
      <c r="H11" s="16">
        <f>C11/C10-1</f>
        <v>0.0281696786674845</v>
      </c>
      <c r="I11" s="16"/>
      <c r="J11" s="16">
        <f>(E11+G11-C11)/C11</f>
        <v>-0.948003671408903</v>
      </c>
      <c r="K11" s="23"/>
      <c r="L11" s="23"/>
    </row>
    <row r="12" ht="20.05" customHeight="1">
      <c r="B12" s="32">
        <v>2017</v>
      </c>
      <c r="C12" s="13">
        <v>2161.6</v>
      </c>
      <c r="D12" s="14"/>
      <c r="E12" s="14">
        <v>8</v>
      </c>
      <c r="F12" s="14">
        <v>359</v>
      </c>
      <c r="G12" s="14">
        <v>327.7</v>
      </c>
      <c r="H12" s="16">
        <f>C12/C11-1</f>
        <v>-0.00798531436438733</v>
      </c>
      <c r="I12" s="16"/>
      <c r="J12" s="16">
        <f>(E12+G12-C12)/C12</f>
        <v>-0.84469837157661</v>
      </c>
      <c r="K12" s="23"/>
      <c r="L12" s="23"/>
    </row>
    <row r="13" ht="20.05" customHeight="1">
      <c r="B13" s="31"/>
      <c r="C13" s="13">
        <v>2221.7</v>
      </c>
      <c r="D13" s="14"/>
      <c r="E13" s="14">
        <v>7.5</v>
      </c>
      <c r="F13" s="14">
        <v>371.9</v>
      </c>
      <c r="G13" s="14">
        <v>353.8</v>
      </c>
      <c r="H13" s="16">
        <f>C13/C12-1</f>
        <v>0.0278034789045152</v>
      </c>
      <c r="I13" s="16"/>
      <c r="J13" s="16">
        <f>(E13+G13-C13)/C13</f>
        <v>-0.837376783544133</v>
      </c>
      <c r="K13" s="23"/>
      <c r="L13" s="23"/>
    </row>
    <row r="14" ht="20.05" customHeight="1">
      <c r="B14" s="31"/>
      <c r="C14" s="13">
        <v>2357.3</v>
      </c>
      <c r="D14" s="14"/>
      <c r="E14" s="14">
        <v>7</v>
      </c>
      <c r="F14" s="14">
        <v>445.6</v>
      </c>
      <c r="G14" s="14">
        <v>410.2</v>
      </c>
      <c r="H14" s="16">
        <f>C14/C13-1</f>
        <v>0.0610343430706216</v>
      </c>
      <c r="I14" s="16"/>
      <c r="J14" s="16">
        <f>(E14+G14-C14)/C14</f>
        <v>-0.823017859415433</v>
      </c>
      <c r="K14" s="23"/>
      <c r="L14" s="23"/>
    </row>
    <row r="15" ht="20.05" customHeight="1">
      <c r="B15" s="31"/>
      <c r="C15" s="13">
        <v>2396.3</v>
      </c>
      <c r="D15" s="14"/>
      <c r="E15" s="14">
        <v>6.4</v>
      </c>
      <c r="F15" s="14">
        <v>484.8</v>
      </c>
      <c r="G15" s="14">
        <v>317.4</v>
      </c>
      <c r="H15" s="16">
        <f>C15/C14-1</f>
        <v>0.016544351588682</v>
      </c>
      <c r="I15" s="16"/>
      <c r="J15" s="16">
        <f>(E15+G15-C15)/C15</f>
        <v>-0.8648750156491261</v>
      </c>
      <c r="K15" s="23"/>
      <c r="L15" s="23"/>
    </row>
    <row r="16" ht="20.05" customHeight="1">
      <c r="B16" s="32">
        <v>2018</v>
      </c>
      <c r="C16" s="13">
        <v>2448.6</v>
      </c>
      <c r="D16" s="14"/>
      <c r="E16" s="14">
        <v>6.1</v>
      </c>
      <c r="F16" s="14">
        <v>407.6</v>
      </c>
      <c r="G16" s="14">
        <v>442.9</v>
      </c>
      <c r="H16" s="16">
        <f>C16/C15-1</f>
        <v>0.0218253140257898</v>
      </c>
      <c r="I16" s="16">
        <f>C16/'Balance sheet'!E12</f>
        <v>0.0864435500953188</v>
      </c>
      <c r="J16" s="16">
        <f>(E16+G16-C16)/C16</f>
        <v>-0.816629910969534</v>
      </c>
      <c r="K16" s="16">
        <f>AVERAGE(J13:J16)</f>
        <v>-0.835474892394557</v>
      </c>
      <c r="L16" s="23"/>
    </row>
    <row r="17" ht="20.05" customHeight="1">
      <c r="B17" s="31"/>
      <c r="C17" s="13">
        <v>2479.8</v>
      </c>
      <c r="D17" s="14"/>
      <c r="E17" s="14">
        <v>6</v>
      </c>
      <c r="F17" s="14">
        <v>424.2</v>
      </c>
      <c r="G17" s="14">
        <v>430.8</v>
      </c>
      <c r="H17" s="16">
        <f>C17/C16-1</f>
        <v>0.0127419750061259</v>
      </c>
      <c r="I17" s="16">
        <f>C17/'Balance sheet'!E13</f>
        <v>0.0878769623303448</v>
      </c>
      <c r="J17" s="16">
        <f>(E17+G17-C17)/C17</f>
        <v>-0.823856762642149</v>
      </c>
      <c r="K17" s="16">
        <f>AVERAGE(J14:J17)</f>
        <v>-0.832094887169061</v>
      </c>
      <c r="L17" s="23"/>
    </row>
    <row r="18" ht="20.05" customHeight="1">
      <c r="B18" s="31"/>
      <c r="C18" s="13">
        <v>2587.7</v>
      </c>
      <c r="D18" s="14"/>
      <c r="E18" s="14">
        <v>6.1</v>
      </c>
      <c r="F18" s="14">
        <v>451.2</v>
      </c>
      <c r="G18" s="14">
        <v>478.2</v>
      </c>
      <c r="H18" s="16">
        <f>C18/C17-1</f>
        <v>0.0435115735139931</v>
      </c>
      <c r="I18" s="16">
        <f>C18/'Balance sheet'!E14</f>
        <v>0.0884351184170056</v>
      </c>
      <c r="J18" s="16">
        <f>(E18+G18-C18)/C18</f>
        <v>-0.812845383931677</v>
      </c>
      <c r="K18" s="16">
        <f>AVERAGE(J15:J18)</f>
        <v>-0.829551768298122</v>
      </c>
      <c r="L18" s="23"/>
    </row>
    <row r="19" ht="20.05" customHeight="1">
      <c r="B19" s="31"/>
      <c r="C19" s="13">
        <v>2667.7</v>
      </c>
      <c r="D19" s="14"/>
      <c r="E19" s="14">
        <v>6.2</v>
      </c>
      <c r="F19" s="14">
        <v>480.9</v>
      </c>
      <c r="G19" s="14">
        <v>463.4</v>
      </c>
      <c r="H19" s="16">
        <f>C19/C18-1</f>
        <v>0.0309154847934459</v>
      </c>
      <c r="I19" s="16">
        <f>C19/'Balance sheet'!E15</f>
        <v>0.08950211366838889</v>
      </c>
      <c r="J19" s="16">
        <f>(E19+G19-C19)/C19</f>
        <v>-0.823968212317727</v>
      </c>
      <c r="K19" s="16">
        <f>AVERAGE(J16:J19)</f>
        <v>-0.819325067465272</v>
      </c>
      <c r="L19" s="23"/>
    </row>
    <row r="20" ht="20.05" customHeight="1">
      <c r="B20" s="32">
        <v>2019</v>
      </c>
      <c r="C20" s="13">
        <v>2682.5</v>
      </c>
      <c r="D20" s="14"/>
      <c r="E20" s="14">
        <v>6.4</v>
      </c>
      <c r="F20" s="14">
        <v>466.4</v>
      </c>
      <c r="G20" s="14">
        <v>462.3</v>
      </c>
      <c r="H20" s="16">
        <f>C20/C19-1</f>
        <v>0.00554785020804438</v>
      </c>
      <c r="I20" s="16">
        <f>C20/'Balance sheet'!E16</f>
        <v>0.08423878909684709</v>
      </c>
      <c r="J20" s="16">
        <f>(E20+G20-C20)/C20</f>
        <v>-0.825274930102516</v>
      </c>
      <c r="K20" s="16">
        <f>AVERAGE(J17:J20)</f>
        <v>-0.821486322248517</v>
      </c>
      <c r="L20" s="16"/>
    </row>
    <row r="21" ht="20.05" customHeight="1">
      <c r="B21" s="31"/>
      <c r="C21" s="13">
        <v>2723.9</v>
      </c>
      <c r="D21" s="14"/>
      <c r="E21" s="14">
        <v>6.7</v>
      </c>
      <c r="F21" s="14">
        <v>441.7</v>
      </c>
      <c r="G21" s="14">
        <v>486.6</v>
      </c>
      <c r="H21" s="16">
        <f>C21/C20-1</f>
        <v>0.0154333643988816</v>
      </c>
      <c r="I21" s="16">
        <f>C21/'Balance sheet'!E17</f>
        <v>0.0864318578454704</v>
      </c>
      <c r="J21" s="16">
        <f>(E21+G21-C21)/C21</f>
        <v>-0.8188993722236499</v>
      </c>
      <c r="K21" s="16">
        <f>AVERAGE(J18:J21)</f>
        <v>-0.820246974643893</v>
      </c>
      <c r="L21" s="16"/>
    </row>
    <row r="22" ht="20.05" customHeight="1">
      <c r="B22" s="31"/>
      <c r="C22" s="13">
        <v>2816.7</v>
      </c>
      <c r="D22" s="14"/>
      <c r="E22" s="14">
        <v>6.7</v>
      </c>
      <c r="F22" s="14">
        <v>553</v>
      </c>
      <c r="G22" s="14">
        <v>469.4</v>
      </c>
      <c r="H22" s="16">
        <f>C22/C21-1</f>
        <v>0.0340687984140387</v>
      </c>
      <c r="I22" s="16">
        <f>C22/'Balance sheet'!E18</f>
        <v>0.0897524137271771</v>
      </c>
      <c r="J22" s="16">
        <f>(E22+G22-C22)/C22</f>
        <v>-0.830972414527639</v>
      </c>
      <c r="K22" s="16">
        <f>AVERAGE(J19:J22)</f>
        <v>-0.824778732292883</v>
      </c>
      <c r="L22" s="16"/>
    </row>
    <row r="23" ht="20.05" customHeight="1">
      <c r="B23" s="31"/>
      <c r="C23" s="13">
        <v>3114.6</v>
      </c>
      <c r="D23" s="14"/>
      <c r="E23" s="14">
        <v>6.2</v>
      </c>
      <c r="F23" s="14">
        <v>526.3</v>
      </c>
      <c r="G23" s="14">
        <v>690.4</v>
      </c>
      <c r="H23" s="16">
        <f>C23/C22-1</f>
        <v>0.105762061987432</v>
      </c>
      <c r="I23" s="16">
        <f>C23/'Balance sheet'!E19</f>
        <v>0.0973495030318185</v>
      </c>
      <c r="J23" s="16">
        <f>(E23+G23-C23)/C23</f>
        <v>-0.776343671739549</v>
      </c>
      <c r="K23" s="16">
        <f>AVERAGE(J20:J23)</f>
        <v>-0.812872597148339</v>
      </c>
      <c r="L23" s="16"/>
    </row>
    <row r="24" ht="20.05" customHeight="1">
      <c r="B24" s="32">
        <v>2020</v>
      </c>
      <c r="C24" s="13">
        <v>2842.1</v>
      </c>
      <c r="D24" s="14"/>
      <c r="E24" s="14">
        <v>6.1</v>
      </c>
      <c r="F24" s="14">
        <v>487.5</v>
      </c>
      <c r="G24" s="14">
        <v>520.1</v>
      </c>
      <c r="H24" s="16">
        <f>C24/C23-1</f>
        <v>-0.0874911706158094</v>
      </c>
      <c r="I24" s="16">
        <f>C24/'Balance sheet'!E20</f>
        <v>0.0871836559403663</v>
      </c>
      <c r="J24" s="16">
        <f>(E24+G24-C24)/C24</f>
        <v>-0.814855212694838</v>
      </c>
      <c r="K24" s="16">
        <f>AVERAGE(J21:J24)</f>
        <v>-0.810267667796419</v>
      </c>
      <c r="L24" s="16"/>
    </row>
    <row r="25" ht="20.05" customHeight="1">
      <c r="B25" s="31"/>
      <c r="C25" s="13">
        <v>2094</v>
      </c>
      <c r="D25" s="14"/>
      <c r="E25" s="14">
        <v>5.7</v>
      </c>
      <c r="F25" s="14">
        <v>569.3</v>
      </c>
      <c r="G25" s="14">
        <v>76.90000000000001</v>
      </c>
      <c r="H25" s="16">
        <f>C25/C24-1</f>
        <v>-0.263220857816403</v>
      </c>
      <c r="I25" s="16">
        <f>C25/'Balance sheet'!E21</f>
        <v>0.0737038471014748</v>
      </c>
      <c r="J25" s="16">
        <f>(E25+G25-C25)/C25</f>
        <v>-0.960553963705826</v>
      </c>
      <c r="K25" s="16">
        <f>AVERAGE(J22:J25)</f>
        <v>-0.845681315666963</v>
      </c>
      <c r="L25" s="16"/>
    </row>
    <row r="26" ht="20.05" customHeight="1">
      <c r="B26" s="31"/>
      <c r="C26" s="13">
        <v>2243.4</v>
      </c>
      <c r="D26" s="14"/>
      <c r="E26" s="14">
        <v>5.7</v>
      </c>
      <c r="F26" s="14">
        <v>450.9</v>
      </c>
      <c r="G26" s="14">
        <v>217.2</v>
      </c>
      <c r="H26" s="16">
        <f>C26/C25-1</f>
        <v>0.07134670487106019</v>
      </c>
      <c r="I26" s="16">
        <f>C26/'Balance sheet'!E22</f>
        <v>0.08629457245066741</v>
      </c>
      <c r="J26" s="16">
        <f>(E26+G26-C26)/C26</f>
        <v>-0.900641882856379</v>
      </c>
      <c r="K26" s="16">
        <f>AVERAGE(J23:J26)</f>
        <v>-0.863098682749148</v>
      </c>
      <c r="L26" s="16"/>
    </row>
    <row r="27" ht="20.05" customHeight="1">
      <c r="B27" s="31"/>
      <c r="C27" s="13">
        <v>2255.2</v>
      </c>
      <c r="D27" s="14"/>
      <c r="E27" s="14">
        <v>6.1</v>
      </c>
      <c r="F27" s="14">
        <v>665.8</v>
      </c>
      <c r="G27" s="14">
        <v>211.4</v>
      </c>
      <c r="H27" s="16">
        <f>C27/C26-1</f>
        <v>0.00525987340643666</v>
      </c>
      <c r="I27" s="16">
        <f>C27/'Balance sheet'!E23</f>
        <v>0.09019717633883929</v>
      </c>
      <c r="J27" s="16">
        <f>(E27+G27-C27)/C27</f>
        <v>-0.903556225611919</v>
      </c>
      <c r="K27" s="16">
        <f>AVERAGE(J24:J27)</f>
        <v>-0.894901821217241</v>
      </c>
      <c r="L27" s="16"/>
    </row>
    <row r="28" ht="20.05" customHeight="1">
      <c r="B28" s="32">
        <v>2021</v>
      </c>
      <c r="C28" s="13">
        <v>2052.8</v>
      </c>
      <c r="D28" s="14"/>
      <c r="E28" s="14">
        <v>6.1</v>
      </c>
      <c r="F28" s="14">
        <v>484.7</v>
      </c>
      <c r="G28" s="14">
        <v>211.1</v>
      </c>
      <c r="H28" s="16">
        <f>C28/C27-1</f>
        <v>-0.0897481376374601</v>
      </c>
      <c r="I28" s="16">
        <f>C28/'Balance sheet'!E24</f>
        <v>0.08641185384744909</v>
      </c>
      <c r="J28" s="16">
        <f>(E28+G28-C28)/C28</f>
        <v>-0.894193296960249</v>
      </c>
      <c r="K28" s="16">
        <f>AVERAGE(J25:J28)</f>
        <v>-0.914736342283593</v>
      </c>
      <c r="L28" s="16"/>
    </row>
    <row r="29" ht="20.05" customHeight="1">
      <c r="B29" s="31"/>
      <c r="C29" s="13">
        <v>2116.8</v>
      </c>
      <c r="D29" s="14"/>
      <c r="E29" s="14">
        <v>6</v>
      </c>
      <c r="F29" s="14">
        <v>477.4</v>
      </c>
      <c r="G29" s="14">
        <v>262.4</v>
      </c>
      <c r="H29" s="16">
        <f>C29/C28-1</f>
        <v>0.0311769290724864</v>
      </c>
      <c r="I29" s="16">
        <f>C29/'Balance sheet'!E25</f>
        <v>0.089649330848721</v>
      </c>
      <c r="J29" s="16">
        <f>(E29+G29-C29)/C29</f>
        <v>-0.873204837490552</v>
      </c>
      <c r="K29" s="16">
        <f>AVERAGE(J26:J29)</f>
        <v>-0.892899060729775</v>
      </c>
      <c r="L29" s="16"/>
    </row>
    <row r="30" ht="20.05" customHeight="1">
      <c r="B30" s="31"/>
      <c r="C30" s="13">
        <v>2101.2</v>
      </c>
      <c r="D30" s="14"/>
      <c r="E30" s="14">
        <v>5.8</v>
      </c>
      <c r="F30" s="14">
        <v>403.1</v>
      </c>
      <c r="G30" s="14">
        <v>279.8</v>
      </c>
      <c r="H30" s="16">
        <f>C30/C29-1</f>
        <v>-0.00736961451247166</v>
      </c>
      <c r="I30" s="16">
        <f>C30/'Balance sheet'!E26</f>
        <v>0.0910872203918849</v>
      </c>
      <c r="J30" s="16">
        <f>(E30+G30-C30)/C30</f>
        <v>-0.864077669902913</v>
      </c>
      <c r="K30" s="16">
        <f>AVERAGE(J27:J30)</f>
        <v>-0.883758007491408</v>
      </c>
      <c r="L30" s="16"/>
    </row>
    <row r="31" ht="20.05" customHeight="1">
      <c r="B31" s="31"/>
      <c r="C31" s="13">
        <v>2382.3</v>
      </c>
      <c r="D31" s="14"/>
      <c r="E31" s="14">
        <v>5.8</v>
      </c>
      <c r="F31" s="14">
        <v>425.3</v>
      </c>
      <c r="G31" s="14">
        <v>459.4</v>
      </c>
      <c r="H31" s="16">
        <f>C31/C30-1</f>
        <v>0.133780696744717</v>
      </c>
      <c r="I31" s="16">
        <f>C31/'Balance sheet'!E27</f>
        <v>0.10785494386092</v>
      </c>
      <c r="J31" s="16">
        <f>(E31+G31-C31)/C31</f>
        <v>-0.804726524786971</v>
      </c>
      <c r="K31" s="16">
        <f>AVERAGE(J28:J31)</f>
        <v>-0.8590505822851709</v>
      </c>
      <c r="L31" s="16"/>
    </row>
    <row r="32" ht="20.05" customHeight="1">
      <c r="B32" s="32">
        <v>2022</v>
      </c>
      <c r="C32" s="13">
        <v>2079</v>
      </c>
      <c r="D32" s="14">
        <v>2287.008</v>
      </c>
      <c r="E32" s="22">
        <v>6</v>
      </c>
      <c r="F32" s="22">
        <f>321+47+12</f>
        <v>380</v>
      </c>
      <c r="G32" s="22">
        <v>305</v>
      </c>
      <c r="H32" s="16">
        <f>C32/C31-1</f>
        <v>-0.127313940309785</v>
      </c>
      <c r="I32" s="16">
        <f>C32/'Balance sheet'!E28</f>
        <v>0.0959692012260423</v>
      </c>
      <c r="J32" s="16">
        <f>(E32+G32-C32)/C32</f>
        <v>-0.8504088504088499</v>
      </c>
      <c r="K32" s="16">
        <f>AVERAGE(J29:J32)</f>
        <v>-0.848104470647322</v>
      </c>
      <c r="L32" s="16">
        <f>K32</f>
        <v>-0.848104470647322</v>
      </c>
    </row>
    <row r="33" ht="20.05" customHeight="1">
      <c r="B33" s="31"/>
      <c r="C33" s="13"/>
      <c r="D33" s="14">
        <f>'Model'!C6</f>
        <v>2141.37</v>
      </c>
      <c r="E33" s="23"/>
      <c r="F33" s="33"/>
      <c r="G33" s="33"/>
      <c r="H33" s="12"/>
      <c r="I33" s="12"/>
      <c r="J33" s="12"/>
      <c r="K33" s="23"/>
      <c r="L33" s="16">
        <f>'Model'!C7</f>
        <v>-0.804726524786971</v>
      </c>
    </row>
    <row r="34" ht="20.05" customHeight="1">
      <c r="B34" s="31"/>
      <c r="C34" s="13"/>
      <c r="D34" s="14">
        <f>'Model'!D6</f>
        <v>2248.4385</v>
      </c>
      <c r="E34" s="23"/>
      <c r="F34" s="33"/>
      <c r="G34" s="33"/>
      <c r="H34" s="12"/>
      <c r="I34" s="12"/>
      <c r="J34" s="12"/>
      <c r="K34" s="23"/>
      <c r="L34" s="23"/>
    </row>
    <row r="35" ht="20.05" customHeight="1">
      <c r="B35" s="31"/>
      <c r="C35" s="13"/>
      <c r="D35" s="14">
        <f>'Model'!E6</f>
        <v>2495.766735</v>
      </c>
      <c r="E35" s="14">
        <f>C32</f>
        <v>2079</v>
      </c>
      <c r="F35" s="14">
        <f>D32</f>
        <v>2287.008</v>
      </c>
      <c r="G35" s="33"/>
      <c r="H35" s="12"/>
      <c r="I35" s="12"/>
      <c r="J35" s="12"/>
      <c r="K35" s="23"/>
      <c r="L35" s="23"/>
    </row>
    <row r="36" ht="20.05" customHeight="1">
      <c r="B36" s="32">
        <v>2023</v>
      </c>
      <c r="C36" s="13"/>
      <c r="D36" s="14">
        <f>'Model'!F6</f>
        <v>2545.6820697</v>
      </c>
      <c r="E36" s="23"/>
      <c r="F36" s="33"/>
      <c r="G36" s="33"/>
      <c r="H36" s="12"/>
      <c r="I36" s="12"/>
      <c r="J36" s="12"/>
      <c r="K36" s="23"/>
      <c r="L36" s="23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4062" style="34" customWidth="1"/>
    <col min="2" max="2" width="7.91406" style="34" customWidth="1"/>
    <col min="3" max="4" width="10.9297" style="34" customWidth="1"/>
    <col min="5" max="5" width="10.7109" style="34" customWidth="1"/>
    <col min="6" max="6" width="10.9297" style="34" customWidth="1"/>
    <col min="7" max="15" width="10.0391" style="34" customWidth="1"/>
    <col min="16" max="16384" width="16.3516" style="34" customWidth="1"/>
  </cols>
  <sheetData>
    <row r="1" ht="22.4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48</v>
      </c>
      <c r="D3" t="s" s="5">
        <v>8</v>
      </c>
      <c r="E3" t="s" s="5">
        <v>9</v>
      </c>
      <c r="F3" t="s" s="5">
        <v>49</v>
      </c>
      <c r="G3" t="s" s="5">
        <v>11</v>
      </c>
      <c r="H3" t="s" s="5">
        <v>26</v>
      </c>
      <c r="I3" t="s" s="5">
        <v>10</v>
      </c>
      <c r="J3" t="s" s="5">
        <v>50</v>
      </c>
      <c r="K3" t="s" s="5">
        <v>34</v>
      </c>
      <c r="L3" t="s" s="5">
        <v>36</v>
      </c>
      <c r="M3" t="s" s="5">
        <v>30</v>
      </c>
      <c r="N3" t="s" s="5">
        <v>36</v>
      </c>
      <c r="O3" s="35"/>
    </row>
    <row r="4" ht="20.25" customHeight="1">
      <c r="B4" s="27">
        <v>2015</v>
      </c>
      <c r="C4" s="36">
        <v>11234.8</v>
      </c>
      <c r="D4" s="37">
        <v>840.9</v>
      </c>
      <c r="E4" s="37">
        <v>-33.6</v>
      </c>
      <c r="F4" s="37">
        <v>0</v>
      </c>
      <c r="G4" s="37">
        <f>I4-H4-F4</f>
        <v>-858.2</v>
      </c>
      <c r="H4" s="37">
        <v>0</v>
      </c>
      <c r="I4" s="37">
        <v>-858.2</v>
      </c>
      <c r="J4" s="37">
        <f>D4+E4</f>
        <v>807.3</v>
      </c>
      <c r="K4" s="37"/>
      <c r="L4" s="37"/>
      <c r="M4" s="37"/>
      <c r="N4" s="37"/>
      <c r="O4" s="37">
        <v>1</v>
      </c>
    </row>
    <row r="5" ht="20.05" customHeight="1">
      <c r="B5" s="31"/>
      <c r="C5" s="17">
        <v>11193.2</v>
      </c>
      <c r="D5" s="18">
        <v>419.3</v>
      </c>
      <c r="E5" s="18">
        <v>-11.8</v>
      </c>
      <c r="F5" s="18">
        <v>0</v>
      </c>
      <c r="G5" s="18">
        <f>I5-H5-F5</f>
        <v>400.8</v>
      </c>
      <c r="H5" s="18">
        <v>-396</v>
      </c>
      <c r="I5" s="18">
        <v>4.8</v>
      </c>
      <c r="J5" s="18">
        <f>D5+E5</f>
        <v>407.5</v>
      </c>
      <c r="K5" s="18"/>
      <c r="L5" s="18"/>
      <c r="M5" s="18">
        <f>-I5+M4</f>
        <v>-4.8</v>
      </c>
      <c r="N5" s="18"/>
      <c r="O5" s="18">
        <f>1+O4</f>
        <v>2</v>
      </c>
    </row>
    <row r="6" ht="20.05" customHeight="1">
      <c r="B6" s="31"/>
      <c r="C6" s="17">
        <v>11287.6</v>
      </c>
      <c r="D6" s="18">
        <v>581.6</v>
      </c>
      <c r="E6" s="18">
        <v>-5.7</v>
      </c>
      <c r="F6" s="18">
        <v>0</v>
      </c>
      <c r="G6" s="18">
        <f>I6-H6-F6</f>
        <v>-494.1</v>
      </c>
      <c r="H6" s="18">
        <v>0</v>
      </c>
      <c r="I6" s="18">
        <v>-494.1</v>
      </c>
      <c r="J6" s="18">
        <f>D6+E6</f>
        <v>575.9</v>
      </c>
      <c r="K6" s="18"/>
      <c r="L6" s="18"/>
      <c r="M6" s="18">
        <f>-I6+M5</f>
        <v>489.3</v>
      </c>
      <c r="N6" s="18"/>
      <c r="O6" s="18">
        <f>1+O5</f>
        <v>3</v>
      </c>
    </row>
    <row r="7" ht="20.05" customHeight="1">
      <c r="B7" s="31"/>
      <c r="C7" s="17">
        <v>20764.4</v>
      </c>
      <c r="D7" s="18">
        <v>9880.799999999999</v>
      </c>
      <c r="E7" s="18">
        <v>-21.9</v>
      </c>
      <c r="F7" s="18">
        <v>0</v>
      </c>
      <c r="G7" s="18">
        <f>I7-H7-F7</f>
        <v>-10121.3</v>
      </c>
      <c r="H7" s="18">
        <v>0</v>
      </c>
      <c r="I7" s="18">
        <v>-10121.3</v>
      </c>
      <c r="J7" s="18">
        <f>D7+E7</f>
        <v>9858.9</v>
      </c>
      <c r="K7" s="18"/>
      <c r="L7" s="18"/>
      <c r="M7" s="18">
        <f>-I7+M6</f>
        <v>10610.6</v>
      </c>
      <c r="N7" s="18"/>
      <c r="O7" s="18">
        <f>1+O6</f>
        <v>4</v>
      </c>
    </row>
    <row r="8" ht="20.05" customHeight="1">
      <c r="B8" s="32">
        <v>2016</v>
      </c>
      <c r="C8" s="17">
        <v>10938.2</v>
      </c>
      <c r="D8" s="18">
        <v>1137</v>
      </c>
      <c r="E8" s="18">
        <v>-23.2</v>
      </c>
      <c r="F8" s="18">
        <v>0</v>
      </c>
      <c r="G8" s="18">
        <f>I8-H8-F8</f>
        <v>-1242.8</v>
      </c>
      <c r="H8" s="18">
        <v>0</v>
      </c>
      <c r="I8" s="18">
        <v>-1242.8</v>
      </c>
      <c r="J8" s="18">
        <f>D8+E8</f>
        <v>1113.8</v>
      </c>
      <c r="K8" s="18">
        <f>AVERAGE(J5:J8)</f>
        <v>2989.025</v>
      </c>
      <c r="L8" s="18"/>
      <c r="M8" s="18">
        <f>-I8+M7</f>
        <v>11853.4</v>
      </c>
      <c r="N8" s="18"/>
      <c r="O8" s="18">
        <f>1+O7</f>
        <v>5</v>
      </c>
    </row>
    <row r="9" ht="20.05" customHeight="1">
      <c r="B9" s="31"/>
      <c r="C9" s="17">
        <v>14330.2</v>
      </c>
      <c r="D9" s="18">
        <v>3075.9</v>
      </c>
      <c r="E9" s="18">
        <v>-17.6</v>
      </c>
      <c r="F9" s="18">
        <v>0</v>
      </c>
      <c r="G9" s="18">
        <f>I9-H9-F9</f>
        <v>-2556.7</v>
      </c>
      <c r="H9" s="18">
        <v>-332.5</v>
      </c>
      <c r="I9" s="18">
        <v>-2889.2</v>
      </c>
      <c r="J9" s="18">
        <f>D9+E9</f>
        <v>3058.3</v>
      </c>
      <c r="K9" s="18">
        <f>AVERAGE(J6:J9)</f>
        <v>3651.725</v>
      </c>
      <c r="L9" s="18"/>
      <c r="M9" s="18">
        <f>-I9+M8</f>
        <v>14742.6</v>
      </c>
      <c r="N9" s="18"/>
      <c r="O9" s="18">
        <f>1+O8</f>
        <v>6</v>
      </c>
    </row>
    <row r="10" ht="20.05" customHeight="1">
      <c r="B10" s="31"/>
      <c r="C10" s="17">
        <v>15749.5</v>
      </c>
      <c r="D10" s="18">
        <v>-3207.1</v>
      </c>
      <c r="E10" s="18">
        <v>-20</v>
      </c>
      <c r="F10" s="18">
        <v>0</v>
      </c>
      <c r="G10" s="18">
        <f>I10-H10-F10</f>
        <v>3182</v>
      </c>
      <c r="H10" s="18">
        <v>0</v>
      </c>
      <c r="I10" s="18">
        <v>3182</v>
      </c>
      <c r="J10" s="18">
        <f>D10+E10</f>
        <v>-3227.1</v>
      </c>
      <c r="K10" s="18">
        <f>AVERAGE(J7:J10)</f>
        <v>2700.975</v>
      </c>
      <c r="L10" s="18"/>
      <c r="M10" s="18">
        <f>-I10+M9</f>
        <v>11560.6</v>
      </c>
      <c r="N10" s="18"/>
      <c r="O10" s="18">
        <f>1+O9</f>
        <v>7</v>
      </c>
    </row>
    <row r="11" ht="20.05" customHeight="1">
      <c r="B11" s="31"/>
      <c r="C11" s="17">
        <v>14196.4</v>
      </c>
      <c r="D11" s="18">
        <v>-35.4</v>
      </c>
      <c r="E11" s="18">
        <v>-23.5</v>
      </c>
      <c r="F11" s="18">
        <v>0</v>
      </c>
      <c r="G11" s="18">
        <f>I11-H11-F11</f>
        <v>-55.1</v>
      </c>
      <c r="H11" s="18">
        <v>0</v>
      </c>
      <c r="I11" s="18">
        <v>-55.1</v>
      </c>
      <c r="J11" s="18">
        <f>D11+E11</f>
        <v>-58.9</v>
      </c>
      <c r="K11" s="18">
        <f>AVERAGE(J8:J11)</f>
        <v>221.525</v>
      </c>
      <c r="L11" s="18"/>
      <c r="M11" s="18">
        <f>-I11+M10</f>
        <v>11615.7</v>
      </c>
      <c r="N11" s="18"/>
      <c r="O11" s="18">
        <f>1+O10</f>
        <v>8</v>
      </c>
    </row>
    <row r="12" ht="20.05" customHeight="1">
      <c r="B12" s="32">
        <v>2017</v>
      </c>
      <c r="C12" s="17">
        <v>13329</v>
      </c>
      <c r="D12" s="18">
        <v>262.2</v>
      </c>
      <c r="E12" s="18">
        <v>-22.3</v>
      </c>
      <c r="F12" s="18">
        <v>0</v>
      </c>
      <c r="G12" s="18">
        <f>I12-H12-F12</f>
        <v>381.7</v>
      </c>
      <c r="H12" s="18">
        <v>0</v>
      </c>
      <c r="I12" s="18">
        <v>381.7</v>
      </c>
      <c r="J12" s="18">
        <f>D12+E12</f>
        <v>239.9</v>
      </c>
      <c r="K12" s="18">
        <f>AVERAGE(J9:J12)</f>
        <v>3.05</v>
      </c>
      <c r="L12" s="18"/>
      <c r="M12" s="18">
        <f>-I12+M11</f>
        <v>11234</v>
      </c>
      <c r="N12" s="18"/>
      <c r="O12" s="18">
        <f>1+O11</f>
        <v>9</v>
      </c>
    </row>
    <row r="13" ht="20.05" customHeight="1">
      <c r="B13" s="31"/>
      <c r="C13" s="17">
        <v>12916.7</v>
      </c>
      <c r="D13" s="18">
        <v>-307.5</v>
      </c>
      <c r="E13" s="18">
        <v>-26.8</v>
      </c>
      <c r="F13" s="18">
        <v>0</v>
      </c>
      <c r="G13" s="18">
        <f>I13-H13-F13</f>
        <v>516.3</v>
      </c>
      <c r="H13" s="18">
        <v>-505</v>
      </c>
      <c r="I13" s="18">
        <v>11.3</v>
      </c>
      <c r="J13" s="18">
        <f>D13+E13</f>
        <v>-334.3</v>
      </c>
      <c r="K13" s="18">
        <f>AVERAGE(J10:J13)</f>
        <v>-845.1</v>
      </c>
      <c r="L13" s="18"/>
      <c r="M13" s="18">
        <f>-I13+M12</f>
        <v>11222.7</v>
      </c>
      <c r="N13" s="18"/>
      <c r="O13" s="18">
        <f>1+O12</f>
        <v>10</v>
      </c>
    </row>
    <row r="14" ht="20.05" customHeight="1">
      <c r="B14" s="31"/>
      <c r="C14" s="17">
        <v>13991.5</v>
      </c>
      <c r="D14" s="18">
        <v>435.8</v>
      </c>
      <c r="E14" s="18">
        <v>-17.2</v>
      </c>
      <c r="F14" s="18">
        <v>0</v>
      </c>
      <c r="G14" s="18">
        <f>I14-H14-F14</f>
        <v>-481.6</v>
      </c>
      <c r="H14" s="18">
        <v>0</v>
      </c>
      <c r="I14" s="18">
        <v>-481.6</v>
      </c>
      <c r="J14" s="18">
        <f>D14+E14</f>
        <v>418.6</v>
      </c>
      <c r="K14" s="18">
        <f>AVERAGE(J11:J14)</f>
        <v>66.325</v>
      </c>
      <c r="L14" s="18"/>
      <c r="M14" s="18">
        <f>-I14+M13</f>
        <v>11704.3</v>
      </c>
      <c r="N14" s="18"/>
      <c r="O14" s="18">
        <f>1+O13</f>
        <v>11</v>
      </c>
    </row>
    <row r="15" ht="20.05" customHeight="1">
      <c r="B15" s="31"/>
      <c r="C15" s="17">
        <v>14314.6</v>
      </c>
      <c r="D15" s="18">
        <v>615.8</v>
      </c>
      <c r="E15" s="18">
        <v>-25.4</v>
      </c>
      <c r="F15" s="18">
        <v>0</v>
      </c>
      <c r="G15" s="18">
        <f>I15-H15-F15</f>
        <v>454.8</v>
      </c>
      <c r="H15" s="18">
        <v>0</v>
      </c>
      <c r="I15" s="18">
        <v>454.8</v>
      </c>
      <c r="J15" s="18">
        <f>D15+E15</f>
        <v>590.4</v>
      </c>
      <c r="K15" s="18">
        <f>AVERAGE(J12:J15)</f>
        <v>228.65</v>
      </c>
      <c r="L15" s="18"/>
      <c r="M15" s="18">
        <f>-I15+M14</f>
        <v>11249.5</v>
      </c>
      <c r="N15" s="18"/>
      <c r="O15" s="18">
        <f>1+O14</f>
        <v>12</v>
      </c>
    </row>
    <row r="16" ht="20.05" customHeight="1">
      <c r="B16" s="32">
        <v>2018</v>
      </c>
      <c r="C16" s="17">
        <v>14510.1</v>
      </c>
      <c r="D16" s="18">
        <v>458.5</v>
      </c>
      <c r="E16" s="18">
        <v>-38.9</v>
      </c>
      <c r="F16" s="18">
        <v>0</v>
      </c>
      <c r="G16" s="18">
        <f>I16-H16-F16</f>
        <v>-1178.5</v>
      </c>
      <c r="H16" s="18">
        <v>0</v>
      </c>
      <c r="I16" s="18">
        <v>-1178.5</v>
      </c>
      <c r="J16" s="18">
        <f>D16+E16</f>
        <v>419.6</v>
      </c>
      <c r="K16" s="18">
        <f>AVERAGE(J13:J16)</f>
        <v>273.575</v>
      </c>
      <c r="L16" s="18"/>
      <c r="M16" s="18">
        <f>-I16+M15</f>
        <v>12428</v>
      </c>
      <c r="N16" s="18"/>
      <c r="O16" s="18">
        <f>1+O15</f>
        <v>13</v>
      </c>
    </row>
    <row r="17" ht="20.05" customHeight="1">
      <c r="B17" s="31"/>
      <c r="C17" s="17">
        <v>14193</v>
      </c>
      <c r="D17" s="18">
        <v>-470.8</v>
      </c>
      <c r="E17" s="18">
        <v>-22.1</v>
      </c>
      <c r="F17" s="18">
        <v>0</v>
      </c>
      <c r="G17" s="18">
        <f>I17-H17-F17</f>
        <v>1270.2</v>
      </c>
      <c r="H17" s="18">
        <v>-704.5</v>
      </c>
      <c r="I17" s="18">
        <v>565.7</v>
      </c>
      <c r="J17" s="18">
        <f>D17+E17</f>
        <v>-492.9</v>
      </c>
      <c r="K17" s="18">
        <f>AVERAGE(J14:J17)</f>
        <v>233.925</v>
      </c>
      <c r="L17" s="18"/>
      <c r="M17" s="18">
        <f>-I17+M16</f>
        <v>11862.3</v>
      </c>
      <c r="N17" s="18"/>
      <c r="O17" s="18">
        <f>1+O16</f>
        <v>14</v>
      </c>
    </row>
    <row r="18" ht="20.05" customHeight="1">
      <c r="B18" s="31"/>
      <c r="C18" s="17">
        <v>15278.4</v>
      </c>
      <c r="D18" s="18">
        <v>-196.9</v>
      </c>
      <c r="E18" s="18">
        <v>-66.5</v>
      </c>
      <c r="F18" s="18">
        <v>0</v>
      </c>
      <c r="G18" s="18">
        <f>I18-H18-F18</f>
        <v>207.9</v>
      </c>
      <c r="H18" s="18">
        <v>0</v>
      </c>
      <c r="I18" s="18">
        <v>207.9</v>
      </c>
      <c r="J18" s="18">
        <f>D18+E18</f>
        <v>-263.4</v>
      </c>
      <c r="K18" s="18">
        <f>AVERAGE(J15:J18)</f>
        <v>63.425</v>
      </c>
      <c r="L18" s="18"/>
      <c r="M18" s="18">
        <f>-I18+M17</f>
        <v>11654.4</v>
      </c>
      <c r="N18" s="18"/>
      <c r="O18" s="18">
        <f>1+O17</f>
        <v>15</v>
      </c>
    </row>
    <row r="19" ht="20.05" customHeight="1">
      <c r="B19" s="31"/>
      <c r="C19" s="17">
        <v>15615.3</v>
      </c>
      <c r="D19" s="18">
        <v>-446.8</v>
      </c>
      <c r="E19" s="18">
        <v>-18</v>
      </c>
      <c r="F19" s="18">
        <v>0</v>
      </c>
      <c r="G19" s="18">
        <f>I19-H19-F19</f>
        <v>674</v>
      </c>
      <c r="H19" s="18">
        <v>0</v>
      </c>
      <c r="I19" s="18">
        <v>674</v>
      </c>
      <c r="J19" s="18">
        <f>D19+E19</f>
        <v>-464.8</v>
      </c>
      <c r="K19" s="18">
        <f>AVERAGE(J16:J19)</f>
        <v>-200.375</v>
      </c>
      <c r="L19" s="18"/>
      <c r="M19" s="18">
        <f>-I19+M18</f>
        <v>10980.4</v>
      </c>
      <c r="N19" s="18"/>
      <c r="O19" s="18">
        <f>1+O18</f>
        <v>16</v>
      </c>
    </row>
    <row r="20" ht="20.05" customHeight="1">
      <c r="B20" s="32">
        <v>2019</v>
      </c>
      <c r="C20" s="17">
        <v>14760.6</v>
      </c>
      <c r="D20" s="18">
        <v>-1454.3</v>
      </c>
      <c r="E20" s="18">
        <v>-17.3</v>
      </c>
      <c r="F20" s="18">
        <v>0</v>
      </c>
      <c r="G20" s="18">
        <f>I20-H20-F20</f>
        <v>1134.1</v>
      </c>
      <c r="H20" s="18">
        <v>0</v>
      </c>
      <c r="I20" s="18">
        <v>1134.1</v>
      </c>
      <c r="J20" s="18">
        <f>D20+E20</f>
        <v>-1471.6</v>
      </c>
      <c r="K20" s="18">
        <f>AVERAGE(J17:J20)</f>
        <v>-673.175</v>
      </c>
      <c r="L20" s="18"/>
      <c r="M20" s="18">
        <f>-I20+M19</f>
        <v>9846.299999999999</v>
      </c>
      <c r="N20" s="18"/>
      <c r="O20" s="18">
        <f>1+O19</f>
        <v>17</v>
      </c>
    </row>
    <row r="21" ht="20.05" customHeight="1">
      <c r="B21" s="31"/>
      <c r="C21" s="17">
        <v>14890.8</v>
      </c>
      <c r="D21" s="18">
        <v>883.1</v>
      </c>
      <c r="E21" s="18">
        <v>-35.3</v>
      </c>
      <c r="F21" s="18">
        <v>0</v>
      </c>
      <c r="G21" s="18">
        <f>I21-H21-F21</f>
        <v>873.6</v>
      </c>
      <c r="H21" s="18">
        <v>-908</v>
      </c>
      <c r="I21" s="18">
        <v>-34.4</v>
      </c>
      <c r="J21" s="18">
        <f>D21+E21</f>
        <v>847.8</v>
      </c>
      <c r="K21" s="18">
        <f>AVERAGE(J18:J21)</f>
        <v>-338</v>
      </c>
      <c r="L21" s="18"/>
      <c r="M21" s="18">
        <f>-I21+M20</f>
        <v>9880.700000000001</v>
      </c>
      <c r="N21" s="18"/>
      <c r="O21" s="18">
        <f>1+O20</f>
        <v>18</v>
      </c>
    </row>
    <row r="22" ht="20.05" customHeight="1">
      <c r="B22" s="31"/>
      <c r="C22" s="17">
        <v>15516.4</v>
      </c>
      <c r="D22" s="18">
        <v>598.7</v>
      </c>
      <c r="E22" s="18">
        <v>-30</v>
      </c>
      <c r="F22" s="18">
        <v>0</v>
      </c>
      <c r="G22" s="18">
        <f>I22-H22-F22</f>
        <v>-867.4</v>
      </c>
      <c r="H22" s="18">
        <v>0</v>
      </c>
      <c r="I22" s="18">
        <v>-867.4</v>
      </c>
      <c r="J22" s="18">
        <f>D22+E22</f>
        <v>568.7</v>
      </c>
      <c r="K22" s="18">
        <f>AVERAGE(J19:J22)</f>
        <v>-129.975</v>
      </c>
      <c r="L22" s="18"/>
      <c r="M22" s="18">
        <f>-I22+M21</f>
        <v>10748.1</v>
      </c>
      <c r="N22" s="18"/>
      <c r="O22" s="18">
        <f>1+O21</f>
        <v>19</v>
      </c>
    </row>
    <row r="23" ht="20.05" customHeight="1">
      <c r="B23" s="31"/>
      <c r="C23" s="17">
        <v>16115.3</v>
      </c>
      <c r="D23" s="18">
        <v>1151.9</v>
      </c>
      <c r="E23" s="18">
        <v>-66.8</v>
      </c>
      <c r="F23" s="18">
        <v>0</v>
      </c>
      <c r="G23" s="18">
        <f>I23-H23-F23</f>
        <v>170.8</v>
      </c>
      <c r="H23" s="18">
        <v>0</v>
      </c>
      <c r="I23" s="18">
        <v>170.8</v>
      </c>
      <c r="J23" s="18">
        <f>D23+E23</f>
        <v>1085.1</v>
      </c>
      <c r="K23" s="18">
        <f>AVERAGE(J20:J23)</f>
        <v>257.5</v>
      </c>
      <c r="L23" s="18"/>
      <c r="M23" s="18">
        <f>-I23+M22</f>
        <v>10577.3</v>
      </c>
      <c r="N23" s="18"/>
      <c r="O23" s="18">
        <f>1+O22</f>
        <v>20</v>
      </c>
    </row>
    <row r="24" ht="20.05" customHeight="1">
      <c r="B24" s="32">
        <v>2020</v>
      </c>
      <c r="C24" s="17">
        <v>15498.9</v>
      </c>
      <c r="D24" s="18">
        <v>1142.2</v>
      </c>
      <c r="E24" s="18">
        <v>-43.2</v>
      </c>
      <c r="F24" s="18">
        <v>-2.8</v>
      </c>
      <c r="G24" s="18">
        <f>I24-H24-F24</f>
        <v>-2020</v>
      </c>
      <c r="H24" s="18">
        <v>0</v>
      </c>
      <c r="I24" s="18">
        <v>-2022.8</v>
      </c>
      <c r="J24" s="18">
        <f>D24+E24</f>
        <v>1099</v>
      </c>
      <c r="K24" s="18">
        <f>AVERAGE(J21:J24)</f>
        <v>900.15</v>
      </c>
      <c r="L24" s="18"/>
      <c r="M24" s="18">
        <f>-I24+M23</f>
        <v>12600.1</v>
      </c>
      <c r="N24" s="18"/>
      <c r="O24" s="18">
        <f>1+O23</f>
        <v>21</v>
      </c>
    </row>
    <row r="25" ht="20.05" customHeight="1">
      <c r="B25" s="31"/>
      <c r="C25" s="17">
        <v>9219.799999999999</v>
      </c>
      <c r="D25" s="18">
        <v>2866.8</v>
      </c>
      <c r="E25" s="18">
        <v>-74.3</v>
      </c>
      <c r="F25" s="18">
        <v>-4.2</v>
      </c>
      <c r="G25" s="18">
        <f>I25-H25-F25</f>
        <v>-384</v>
      </c>
      <c r="H25" s="18">
        <v>-1054.5</v>
      </c>
      <c r="I25" s="18">
        <v>-1442.7</v>
      </c>
      <c r="J25" s="18">
        <f>D25+E25</f>
        <v>2792.5</v>
      </c>
      <c r="K25" s="18">
        <f>AVERAGE(J22:J25)</f>
        <v>1386.325</v>
      </c>
      <c r="L25" s="18"/>
      <c r="M25" s="18">
        <f>-I25+M24</f>
        <v>14042.8</v>
      </c>
      <c r="N25" s="18"/>
      <c r="O25" s="18">
        <f>1+O24</f>
        <v>22</v>
      </c>
    </row>
    <row r="26" ht="20.05" customHeight="1">
      <c r="B26" s="31"/>
      <c r="C26" s="17">
        <v>11030.6</v>
      </c>
      <c r="D26" s="18">
        <v>3159.1</v>
      </c>
      <c r="E26" s="18">
        <v>-11.7</v>
      </c>
      <c r="F26" s="18">
        <v>-3.7</v>
      </c>
      <c r="G26" s="18">
        <f>I26-H26-F26</f>
        <v>-490.4</v>
      </c>
      <c r="H26" s="18">
        <v>0</v>
      </c>
      <c r="I26" s="18">
        <v>-494.1</v>
      </c>
      <c r="J26" s="18">
        <f>D26+E26</f>
        <v>3147.4</v>
      </c>
      <c r="K26" s="18">
        <f>AVERAGE(J23:J26)</f>
        <v>2031</v>
      </c>
      <c r="L26" s="18"/>
      <c r="M26" s="18">
        <f>-I26+M25</f>
        <v>14536.9</v>
      </c>
      <c r="N26" s="18"/>
      <c r="O26" s="18">
        <f>1+O25</f>
        <v>23</v>
      </c>
    </row>
    <row r="27" ht="20.05" customHeight="1">
      <c r="B27" s="31"/>
      <c r="C27" s="17">
        <v>11553.7</v>
      </c>
      <c r="D27" s="18">
        <v>1284.6</v>
      </c>
      <c r="E27" s="18">
        <v>-3.1</v>
      </c>
      <c r="F27" s="18">
        <v>-7.9</v>
      </c>
      <c r="G27" s="18">
        <f>I27-H27-F27</f>
        <v>-3248</v>
      </c>
      <c r="H27" s="18">
        <v>0</v>
      </c>
      <c r="I27" s="18">
        <v>-3255.9</v>
      </c>
      <c r="J27" s="18">
        <f>D27+E27</f>
        <v>1281.5</v>
      </c>
      <c r="K27" s="18">
        <f>AVERAGE(J24:J27)</f>
        <v>2080.1</v>
      </c>
      <c r="L27" s="18"/>
      <c r="M27" s="18">
        <f>-I27+M26</f>
        <v>17792.8</v>
      </c>
      <c r="N27" s="18"/>
      <c r="O27" s="18">
        <f>1+O26</f>
        <v>24</v>
      </c>
    </row>
    <row r="28" ht="20.05" customHeight="1">
      <c r="B28" s="32">
        <v>2021</v>
      </c>
      <c r="C28" s="17">
        <v>11507.4</v>
      </c>
      <c r="D28" s="18">
        <v>1274.1</v>
      </c>
      <c r="E28" s="18">
        <v>-32.5</v>
      </c>
      <c r="F28" s="18">
        <v>-3.8</v>
      </c>
      <c r="G28" s="18">
        <f>I28-H28-F28</f>
        <v>-3633.3</v>
      </c>
      <c r="H28" s="18">
        <v>0</v>
      </c>
      <c r="I28" s="18">
        <v>-3637.1</v>
      </c>
      <c r="J28" s="18">
        <f>D28+E28</f>
        <v>1241.6</v>
      </c>
      <c r="K28" s="18">
        <f>AVERAGE(J25:J28)</f>
        <v>2115.75</v>
      </c>
      <c r="L28" s="18"/>
      <c r="M28" s="18">
        <f>-I28+M27</f>
        <v>21429.9</v>
      </c>
      <c r="N28" s="18"/>
      <c r="O28" s="18">
        <f>1+O27</f>
        <v>25</v>
      </c>
    </row>
    <row r="29" ht="20.05" customHeight="1">
      <c r="B29" s="31"/>
      <c r="C29" s="17">
        <v>12329.1</v>
      </c>
      <c r="D29" s="18">
        <v>-2698.1</v>
      </c>
      <c r="E29" s="18">
        <v>-9.699999999999999</v>
      </c>
      <c r="F29" s="18">
        <v>-3.8</v>
      </c>
      <c r="G29" s="18">
        <f>I29-H29-F29</f>
        <v>-85.8</v>
      </c>
      <c r="H29" s="18">
        <v>0</v>
      </c>
      <c r="I29" s="18">
        <v>-89.59999999999999</v>
      </c>
      <c r="J29" s="18">
        <f>D29+E29</f>
        <v>-2707.8</v>
      </c>
      <c r="K29" s="18">
        <f>AVERAGE(J26:J29)</f>
        <v>740.675</v>
      </c>
      <c r="L29" s="18"/>
      <c r="M29" s="18">
        <f>-I29+M28</f>
        <v>21519.5</v>
      </c>
      <c r="N29" s="18"/>
      <c r="O29" s="18">
        <f>1+O28</f>
        <v>26</v>
      </c>
    </row>
    <row r="30" ht="20.05" customHeight="1">
      <c r="B30" s="31"/>
      <c r="C30" s="17">
        <v>12640.3</v>
      </c>
      <c r="D30" s="18">
        <v>4441.7</v>
      </c>
      <c r="E30" s="18">
        <v>-12</v>
      </c>
      <c r="F30" s="18">
        <v>-4</v>
      </c>
      <c r="G30" s="18">
        <f>I30-H30-F30</f>
        <v>-1393.3</v>
      </c>
      <c r="H30" s="18">
        <v>-513</v>
      </c>
      <c r="I30" s="18">
        <v>-1910.3</v>
      </c>
      <c r="J30" s="18">
        <f>D30+E30</f>
        <v>4429.7</v>
      </c>
      <c r="K30" s="18">
        <f>AVERAGE(J27:J30)</f>
        <v>1061.25</v>
      </c>
      <c r="L30" s="18"/>
      <c r="M30" s="18">
        <f>-I30+M29</f>
        <v>23429.8</v>
      </c>
      <c r="N30" s="18"/>
      <c r="O30" s="18">
        <f>1+O29</f>
        <v>27</v>
      </c>
    </row>
    <row r="31" ht="20.05" customHeight="1">
      <c r="B31" s="31"/>
      <c r="C31" s="17">
        <v>13876.5</v>
      </c>
      <c r="D31" s="18">
        <v>1048.7</v>
      </c>
      <c r="E31" s="18">
        <v>-13.6</v>
      </c>
      <c r="F31" s="18">
        <v>-7.9</v>
      </c>
      <c r="G31" s="18">
        <f>I31-H31-F31</f>
        <v>-943.5</v>
      </c>
      <c r="H31" s="18">
        <v>0</v>
      </c>
      <c r="I31" s="18">
        <v>-951.4</v>
      </c>
      <c r="J31" s="18">
        <f>D31+E31</f>
        <v>1035.1</v>
      </c>
      <c r="K31" s="18">
        <f>AVERAGE(J28:J31)</f>
        <v>999.65</v>
      </c>
      <c r="L31" s="18"/>
      <c r="M31" s="18">
        <f>-I31+M30</f>
        <v>24381.2</v>
      </c>
      <c r="N31" s="18"/>
      <c r="O31" s="18">
        <f>1+O30</f>
        <v>28</v>
      </c>
    </row>
    <row r="32" ht="20.05" customHeight="1">
      <c r="B32" s="32">
        <v>2022</v>
      </c>
      <c r="C32" s="17">
        <f>9154+3582+250</f>
        <v>12986</v>
      </c>
      <c r="D32" s="18">
        <v>736.8</v>
      </c>
      <c r="E32" s="18">
        <v>14</v>
      </c>
      <c r="F32" s="18">
        <v>-4.1</v>
      </c>
      <c r="G32" s="18">
        <f>810-F32</f>
        <v>814.1</v>
      </c>
      <c r="H32" s="18">
        <v>0</v>
      </c>
      <c r="I32" s="18">
        <v>810</v>
      </c>
      <c r="J32" s="18">
        <f>D32+E32</f>
        <v>750.8</v>
      </c>
      <c r="K32" s="18">
        <f>AVERAGE(J29:J32)</f>
        <v>876.95</v>
      </c>
      <c r="L32" s="18">
        <f>K32</f>
        <v>876.95</v>
      </c>
      <c r="M32" s="18">
        <f>-I32+M31</f>
        <v>23571.2</v>
      </c>
      <c r="N32" s="18">
        <f>M32</f>
        <v>23571.2</v>
      </c>
      <c r="O32" s="18">
        <f>1+O31</f>
        <v>29</v>
      </c>
    </row>
    <row r="33" ht="20.05" customHeight="1">
      <c r="B33" s="31"/>
      <c r="C33" s="17"/>
      <c r="D33" s="18"/>
      <c r="E33" s="18"/>
      <c r="F33" s="18"/>
      <c r="G33" s="18"/>
      <c r="H33" s="18"/>
      <c r="I33" s="18"/>
      <c r="J33" s="18"/>
      <c r="K33" s="23"/>
      <c r="L33" s="18">
        <f>SUM('Model'!F9:F10)</f>
        <v>497.304184537820</v>
      </c>
      <c r="M33" s="23"/>
      <c r="N33" s="18">
        <f>'Model'!F33</f>
        <v>25413.674389517</v>
      </c>
      <c r="O33" s="18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8" customWidth="1"/>
    <col min="2" max="2" width="6.97656" style="38" customWidth="1"/>
    <col min="3" max="13" width="11.0938" style="38" customWidth="1"/>
    <col min="14" max="16384" width="16.3516" style="38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4.25" customHeight="1">
      <c r="B3" t="s" s="5">
        <v>1</v>
      </c>
      <c r="C3" t="s" s="5">
        <v>51</v>
      </c>
      <c r="D3" t="s" s="5">
        <v>52</v>
      </c>
      <c r="E3" t="s" s="5">
        <v>53</v>
      </c>
      <c r="F3" t="s" s="5">
        <v>24</v>
      </c>
      <c r="G3" t="s" s="5">
        <v>44</v>
      </c>
      <c r="H3" t="s" s="5">
        <v>11</v>
      </c>
      <c r="I3" t="s" s="5">
        <v>26</v>
      </c>
      <c r="J3" t="s" s="5">
        <v>27</v>
      </c>
      <c r="K3" t="s" s="5">
        <v>54</v>
      </c>
      <c r="L3" t="s" s="5">
        <v>55</v>
      </c>
      <c r="M3" t="s" s="5">
        <v>36</v>
      </c>
    </row>
    <row r="4" ht="20.25" customHeight="1">
      <c r="B4" s="27">
        <v>2016</v>
      </c>
      <c r="C4" s="36">
        <f>154+228+550</f>
        <v>932</v>
      </c>
      <c r="D4" s="37">
        <v>26458</v>
      </c>
      <c r="E4" s="37">
        <f>D4-C4</f>
        <v>25526</v>
      </c>
      <c r="F4" s="37">
        <v>459</v>
      </c>
      <c r="G4" s="37">
        <f>1041+35</f>
        <v>1076</v>
      </c>
      <c r="H4" s="37">
        <v>21860</v>
      </c>
      <c r="I4" s="37">
        <v>4598</v>
      </c>
      <c r="J4" s="37">
        <f>H4+I4-C4-E4</f>
        <v>0</v>
      </c>
      <c r="K4" s="37"/>
      <c r="L4" s="37">
        <f>C4-H4</f>
        <v>-20928</v>
      </c>
      <c r="M4" s="37"/>
    </row>
    <row r="5" ht="20.05" customHeight="1">
      <c r="B5" s="31"/>
      <c r="C5" s="17"/>
      <c r="D5" s="18"/>
      <c r="E5" s="18">
        <f>D5-C5</f>
        <v>0</v>
      </c>
      <c r="F5" s="18"/>
      <c r="G5" s="18"/>
      <c r="H5" s="18"/>
      <c r="I5" s="18"/>
      <c r="J5" s="18">
        <f>H5+I5-C5-E5</f>
        <v>0</v>
      </c>
      <c r="K5" s="18"/>
      <c r="L5" s="18">
        <f>C5-H5</f>
        <v>0</v>
      </c>
      <c r="M5" s="18"/>
    </row>
    <row r="6" ht="20.05" customHeight="1">
      <c r="B6" s="31"/>
      <c r="C6" s="17">
        <f>165+172+718</f>
        <v>1055</v>
      </c>
      <c r="D6" s="18">
        <v>27012</v>
      </c>
      <c r="E6" s="18">
        <f>D6-C6</f>
        <v>25957</v>
      </c>
      <c r="F6" s="18">
        <v>484</v>
      </c>
      <c r="G6" s="18">
        <f>1113+34</f>
        <v>1147</v>
      </c>
      <c r="H6" s="18">
        <v>22134</v>
      </c>
      <c r="I6" s="18">
        <v>4878</v>
      </c>
      <c r="J6" s="18">
        <f>H6+I6-C6-E6</f>
        <v>0</v>
      </c>
      <c r="K6" s="18"/>
      <c r="L6" s="18">
        <f>C6-H6</f>
        <v>-21079</v>
      </c>
      <c r="M6" s="18"/>
    </row>
    <row r="7" ht="20.05" customHeight="1">
      <c r="B7" s="31"/>
      <c r="C7" s="17">
        <f>192+168+580</f>
        <v>940</v>
      </c>
      <c r="D7" s="18">
        <v>27643</v>
      </c>
      <c r="E7" s="18">
        <f>D7-C7</f>
        <v>26703</v>
      </c>
      <c r="F7" s="18">
        <f>492+145</f>
        <v>637</v>
      </c>
      <c r="G7" s="18">
        <f>724+481+31</f>
        <v>1236</v>
      </c>
      <c r="H7" s="18">
        <v>22666</v>
      </c>
      <c r="I7" s="18">
        <v>4977</v>
      </c>
      <c r="J7" s="18">
        <f>H7+I7-C7-E7</f>
        <v>0</v>
      </c>
      <c r="K7" s="18"/>
      <c r="L7" s="18">
        <f>C7-H7</f>
        <v>-21726</v>
      </c>
      <c r="M7" s="18"/>
    </row>
    <row r="8" ht="20.05" customHeight="1">
      <c r="B8" s="32">
        <v>2017</v>
      </c>
      <c r="C8" s="17">
        <f>165.6+149.9+1247</f>
        <v>1562.5</v>
      </c>
      <c r="D8" s="18">
        <v>27831.9</v>
      </c>
      <c r="E8" s="18">
        <f>D8-C8</f>
        <v>26269.4</v>
      </c>
      <c r="F8" s="18">
        <f>501</f>
        <v>501</v>
      </c>
      <c r="G8" s="18">
        <f>699+535+26</f>
        <v>1260</v>
      </c>
      <c r="H8" s="18">
        <v>22563</v>
      </c>
      <c r="I8" s="18">
        <v>5269</v>
      </c>
      <c r="J8" s="18">
        <f>H8+I8-C8-E8</f>
        <v>0.1</v>
      </c>
      <c r="K8" s="18"/>
      <c r="L8" s="18">
        <f>C8-H8</f>
        <v>-21000.5</v>
      </c>
      <c r="M8" s="18"/>
    </row>
    <row r="9" ht="20.05" customHeight="1">
      <c r="B9" s="31"/>
      <c r="C9" s="17">
        <f>232+224+783</f>
        <v>1239</v>
      </c>
      <c r="D9" s="18">
        <v>28447</v>
      </c>
      <c r="E9" s="18">
        <f>D9-C9</f>
        <v>27208</v>
      </c>
      <c r="F9" s="18">
        <f>156+510</f>
        <v>666</v>
      </c>
      <c r="G9" s="18">
        <f>704+581+20</f>
        <v>1305</v>
      </c>
      <c r="H9" s="18">
        <v>23369</v>
      </c>
      <c r="I9" s="18">
        <v>5078</v>
      </c>
      <c r="J9" s="18">
        <f>H9+I9-C9-E9</f>
        <v>0</v>
      </c>
      <c r="K9" s="18"/>
      <c r="L9" s="18">
        <f>C9-H9</f>
        <v>-22130</v>
      </c>
      <c r="M9" s="18"/>
    </row>
    <row r="10" ht="20.05" customHeight="1">
      <c r="B10" s="31"/>
      <c r="C10" s="17">
        <f>217+151+808</f>
        <v>1176</v>
      </c>
      <c r="D10" s="18">
        <v>28256</v>
      </c>
      <c r="E10" s="18">
        <f>D10-C10</f>
        <v>27080</v>
      </c>
      <c r="F10" s="18">
        <f>518+161</f>
        <v>679</v>
      </c>
      <c r="G10" s="18">
        <f>740+561+18</f>
        <v>1319</v>
      </c>
      <c r="H10" s="18">
        <v>22768</v>
      </c>
      <c r="I10" s="18">
        <v>5488</v>
      </c>
      <c r="J10" s="18">
        <f>H10+I10-C10-E10</f>
        <v>0</v>
      </c>
      <c r="K10" s="18"/>
      <c r="L10" s="18">
        <f>C10-H10</f>
        <v>-21592</v>
      </c>
      <c r="M10" s="18"/>
    </row>
    <row r="11" ht="20.05" customHeight="1">
      <c r="B11" s="31"/>
      <c r="C11" s="17">
        <f>220+270+1731</f>
        <v>2221</v>
      </c>
      <c r="D11" s="18">
        <v>29493</v>
      </c>
      <c r="E11" s="18">
        <f>D11-C11</f>
        <v>27272</v>
      </c>
      <c r="F11" s="18">
        <f>523+168</f>
        <v>691</v>
      </c>
      <c r="G11" s="18">
        <f>841+492+15</f>
        <v>1348</v>
      </c>
      <c r="H11" s="18">
        <v>23748</v>
      </c>
      <c r="I11" s="18">
        <v>5745</v>
      </c>
      <c r="J11" s="18">
        <f>H11+I11-C11-E11</f>
        <v>0</v>
      </c>
      <c r="K11" s="18"/>
      <c r="L11" s="18">
        <f>C11-H11</f>
        <v>-21527</v>
      </c>
      <c r="M11" s="18"/>
    </row>
    <row r="12" ht="20.05" customHeight="1">
      <c r="B12" s="32">
        <v>2018</v>
      </c>
      <c r="C12" s="17">
        <f>292+94+1076</f>
        <v>1462</v>
      </c>
      <c r="D12" s="18">
        <v>29788</v>
      </c>
      <c r="E12" s="18">
        <f>D12-C12</f>
        <v>28326</v>
      </c>
      <c r="F12" s="18">
        <f>175+527</f>
        <v>702</v>
      </c>
      <c r="G12" s="18">
        <f>940+425+11</f>
        <v>1376</v>
      </c>
      <c r="H12" s="18">
        <v>23589</v>
      </c>
      <c r="I12" s="18">
        <v>6199</v>
      </c>
      <c r="J12" s="18">
        <f>H12+I12-C12-E12</f>
        <v>0</v>
      </c>
      <c r="K12" s="16">
        <f>E12/E11-1</f>
        <v>0.0386476972719273</v>
      </c>
      <c r="L12" s="18">
        <f>C12-H12</f>
        <v>-22127</v>
      </c>
      <c r="M12" s="18"/>
    </row>
    <row r="13" ht="20.05" customHeight="1">
      <c r="B13" s="31"/>
      <c r="C13" s="17">
        <f>316+170+1049</f>
        <v>1535</v>
      </c>
      <c r="D13" s="18">
        <v>29754</v>
      </c>
      <c r="E13" s="18">
        <f>D13-C13</f>
        <v>28219</v>
      </c>
      <c r="F13" s="18">
        <f>532+184</f>
        <v>716</v>
      </c>
      <c r="G13" s="18">
        <f>1046+363+9</f>
        <v>1418</v>
      </c>
      <c r="H13" s="18">
        <v>23774</v>
      </c>
      <c r="I13" s="18">
        <v>5980</v>
      </c>
      <c r="J13" s="18">
        <f>H13+I13-C13-E13</f>
        <v>0</v>
      </c>
      <c r="K13" s="16">
        <f>E13/E12-1</f>
        <v>-0.00377744828073148</v>
      </c>
      <c r="L13" s="18">
        <f>C13-H13</f>
        <v>-22239</v>
      </c>
      <c r="M13" s="18"/>
    </row>
    <row r="14" ht="20.05" customHeight="1">
      <c r="B14" s="31"/>
      <c r="C14" s="17">
        <f>268+116+1096</f>
        <v>1480</v>
      </c>
      <c r="D14" s="18">
        <v>30741</v>
      </c>
      <c r="E14" s="18">
        <f>D14-C14</f>
        <v>29261</v>
      </c>
      <c r="F14" s="18">
        <f>541+192</f>
        <v>733</v>
      </c>
      <c r="G14" s="18">
        <f>1113+304+7</f>
        <v>1424</v>
      </c>
      <c r="H14" s="18">
        <v>24290</v>
      </c>
      <c r="I14" s="18">
        <v>6451</v>
      </c>
      <c r="J14" s="18">
        <f>H14+I14-C14-E14</f>
        <v>0</v>
      </c>
      <c r="K14" s="16">
        <f>E14/E13-1</f>
        <v>0.0369254757432935</v>
      </c>
      <c r="L14" s="18">
        <f>C14-H14</f>
        <v>-22810</v>
      </c>
      <c r="M14" s="18"/>
    </row>
    <row r="15" ht="20.05" customHeight="1">
      <c r="B15" s="31"/>
      <c r="C15" s="17">
        <f>250+180+1260</f>
        <v>1690</v>
      </c>
      <c r="D15" s="18">
        <v>31496</v>
      </c>
      <c r="E15" s="18">
        <f>D15-C15</f>
        <v>29806</v>
      </c>
      <c r="F15" s="18">
        <f>548+200</f>
        <v>748</v>
      </c>
      <c r="G15" s="18">
        <f>1196+240+7</f>
        <v>1443</v>
      </c>
      <c r="H15" s="18">
        <v>24468</v>
      </c>
      <c r="I15" s="18">
        <v>7028</v>
      </c>
      <c r="J15" s="18">
        <f>H15+I15-C15-E15</f>
        <v>0</v>
      </c>
      <c r="K15" s="16">
        <f>E15/E14-1</f>
        <v>0.01862547418065</v>
      </c>
      <c r="L15" s="18">
        <f>C15-H15</f>
        <v>-22778</v>
      </c>
      <c r="M15" s="18"/>
    </row>
    <row r="16" ht="20.05" customHeight="1">
      <c r="B16" s="32">
        <v>2019</v>
      </c>
      <c r="C16" s="17">
        <f>250+96+1006</f>
        <v>1352</v>
      </c>
      <c r="D16" s="18">
        <v>33196</v>
      </c>
      <c r="E16" s="18">
        <f>D16-C16</f>
        <v>31844</v>
      </c>
      <c r="F16" s="18">
        <v>766</v>
      </c>
      <c r="G16" s="18">
        <f>1298+204+7</f>
        <v>1509</v>
      </c>
      <c r="H16" s="18">
        <v>26626</v>
      </c>
      <c r="I16" s="18">
        <v>6570</v>
      </c>
      <c r="J16" s="18">
        <f>H16+I16-C16-E16</f>
        <v>0</v>
      </c>
      <c r="K16" s="16">
        <f>E16/E15-1</f>
        <v>0.0683754948668053</v>
      </c>
      <c r="L16" s="18">
        <f>C16-H16</f>
        <v>-25274</v>
      </c>
      <c r="M16" s="18"/>
    </row>
    <row r="17" ht="20.05" customHeight="1">
      <c r="B17" s="31"/>
      <c r="C17" s="17">
        <f>307+46+1812</f>
        <v>2165</v>
      </c>
      <c r="D17" s="18">
        <v>33680</v>
      </c>
      <c r="E17" s="18">
        <f>D17-C17</f>
        <v>31515</v>
      </c>
      <c r="F17" s="18">
        <f>565+218</f>
        <v>783</v>
      </c>
      <c r="G17" s="18">
        <f>1338+176+10</f>
        <v>1524</v>
      </c>
      <c r="H17" s="18">
        <v>26696</v>
      </c>
      <c r="I17" s="18">
        <v>6984</v>
      </c>
      <c r="J17" s="18">
        <f>H17+I17-C17-E17</f>
        <v>0</v>
      </c>
      <c r="K17" s="16">
        <f>E17/E16-1</f>
        <v>-0.0103316166310765</v>
      </c>
      <c r="L17" s="18">
        <f>C17-H17</f>
        <v>-24531</v>
      </c>
      <c r="M17" s="18"/>
    </row>
    <row r="18" ht="20.05" customHeight="1">
      <c r="B18" s="31"/>
      <c r="C18" s="17">
        <f>239+86+1541</f>
        <v>1866</v>
      </c>
      <c r="D18" s="18">
        <v>33249</v>
      </c>
      <c r="E18" s="18">
        <f>D18-C18</f>
        <v>31383</v>
      </c>
      <c r="F18" s="18">
        <f>572+227</f>
        <v>799</v>
      </c>
      <c r="G18" s="18">
        <f>1380+158+12</f>
        <v>1550</v>
      </c>
      <c r="H18" s="18">
        <v>25818</v>
      </c>
      <c r="I18" s="18">
        <v>7431</v>
      </c>
      <c r="J18" s="18">
        <f>H18+I18-C18-E18</f>
        <v>0</v>
      </c>
      <c r="K18" s="16">
        <f>E18/E17-1</f>
        <v>-0.00418848167539267</v>
      </c>
      <c r="L18" s="18">
        <f>C18-H18</f>
        <v>-23952</v>
      </c>
      <c r="M18" s="18"/>
    </row>
    <row r="19" ht="20.05" customHeight="1">
      <c r="B19" s="31"/>
      <c r="C19" s="17">
        <f>171+1147+1805</f>
        <v>3123</v>
      </c>
      <c r="D19" s="18">
        <v>35117</v>
      </c>
      <c r="E19" s="18">
        <f>D19-C19</f>
        <v>31994</v>
      </c>
      <c r="F19" s="18">
        <f>564+237</f>
        <v>801</v>
      </c>
      <c r="G19" s="18">
        <f>1375+189+10</f>
        <v>1574</v>
      </c>
      <c r="H19" s="18">
        <v>27038</v>
      </c>
      <c r="I19" s="18">
        <v>8079</v>
      </c>
      <c r="J19" s="18">
        <f>H19+I19-C19-E19</f>
        <v>0</v>
      </c>
      <c r="K19" s="16">
        <f>E19/E18-1</f>
        <v>0.0194691393429564</v>
      </c>
      <c r="L19" s="18">
        <f>C19-H19</f>
        <v>-23915</v>
      </c>
      <c r="M19" s="18"/>
    </row>
    <row r="20" ht="20.05" customHeight="1">
      <c r="B20" s="32">
        <v>2020</v>
      </c>
      <c r="C20" s="17">
        <f>100+994+1105</f>
        <v>2199</v>
      </c>
      <c r="D20" s="18">
        <v>34798</v>
      </c>
      <c r="E20" s="18">
        <f>D20-C20</f>
        <v>32599</v>
      </c>
      <c r="F20" s="18">
        <f>248+579+153</f>
        <v>980</v>
      </c>
      <c r="G20" s="18">
        <f>1555+185+7</f>
        <v>1747</v>
      </c>
      <c r="H20" s="18">
        <v>27325</v>
      </c>
      <c r="I20" s="18">
        <v>7473</v>
      </c>
      <c r="J20" s="18">
        <f>H20+I20-C20-E20</f>
        <v>0</v>
      </c>
      <c r="K20" s="16">
        <f>E20/E19-1</f>
        <v>0.0189097955866725</v>
      </c>
      <c r="L20" s="18">
        <f>C20-H20</f>
        <v>-25126</v>
      </c>
      <c r="M20" s="18"/>
    </row>
    <row r="21" ht="20.05" customHeight="1">
      <c r="B21" s="31"/>
      <c r="C21" s="17">
        <f>64+942+2543</f>
        <v>3549</v>
      </c>
      <c r="D21" s="18">
        <v>31960</v>
      </c>
      <c r="E21" s="18">
        <f>D21-C21</f>
        <v>28411</v>
      </c>
      <c r="F21" s="18">
        <f>594+177+262</f>
        <v>1033</v>
      </c>
      <c r="G21" s="18">
        <f>1649+180+19</f>
        <v>1848</v>
      </c>
      <c r="H21" s="18">
        <v>24439</v>
      </c>
      <c r="I21" s="18">
        <v>7521</v>
      </c>
      <c r="J21" s="18">
        <f>H21+I21-C21-E21</f>
        <v>0</v>
      </c>
      <c r="K21" s="16">
        <f>E21/E20-1</f>
        <v>-0.128470198472346</v>
      </c>
      <c r="L21" s="18">
        <f>C21-H21</f>
        <v>-20890</v>
      </c>
      <c r="M21" s="18"/>
    </row>
    <row r="22" ht="20.05" customHeight="1">
      <c r="B22" s="31"/>
      <c r="C22" s="17">
        <f>122+2517+3563</f>
        <v>6202</v>
      </c>
      <c r="D22" s="18">
        <v>32199</v>
      </c>
      <c r="E22" s="18">
        <f>D22-C22</f>
        <v>25997</v>
      </c>
      <c r="F22" s="18">
        <f>277+202+602</f>
        <v>1081</v>
      </c>
      <c r="G22" s="18">
        <f>1501+170+13</f>
        <v>1684</v>
      </c>
      <c r="H22" s="18">
        <v>24537</v>
      </c>
      <c r="I22" s="18">
        <v>7662</v>
      </c>
      <c r="J22" s="18">
        <f>H22+I22-C22-E22</f>
        <v>0</v>
      </c>
      <c r="K22" s="16">
        <f>E22/E21-1</f>
        <v>-0.0849670902115378</v>
      </c>
      <c r="L22" s="18">
        <f>C22-H22</f>
        <v>-18335</v>
      </c>
      <c r="M22" s="18"/>
    </row>
    <row r="23" ht="20.05" customHeight="1">
      <c r="B23" s="31"/>
      <c r="C23" s="17">
        <f>76+2935+1216</f>
        <v>4227</v>
      </c>
      <c r="D23" s="18">
        <v>29230</v>
      </c>
      <c r="E23" s="18">
        <f>D23-C23</f>
        <v>25003</v>
      </c>
      <c r="F23" s="18">
        <f>606+98+290</f>
        <v>994</v>
      </c>
      <c r="G23" s="18">
        <f>1755+156+6</f>
        <v>1917</v>
      </c>
      <c r="H23" s="18">
        <v>21305</v>
      </c>
      <c r="I23" s="18">
        <v>7925</v>
      </c>
      <c r="J23" s="18">
        <f>H23+I23-C23-E23</f>
        <v>0</v>
      </c>
      <c r="K23" s="16">
        <f>E23/E22-1</f>
        <v>-0.038235180982421</v>
      </c>
      <c r="L23" s="18">
        <f>C23-H23</f>
        <v>-17078</v>
      </c>
      <c r="M23" s="18"/>
    </row>
    <row r="24" ht="20.05" customHeight="1">
      <c r="B24" s="32">
        <v>2021</v>
      </c>
      <c r="C24" s="17">
        <f>109+948+775</f>
        <v>1832</v>
      </c>
      <c r="D24" s="18">
        <v>25588</v>
      </c>
      <c r="E24" s="18">
        <f>D24-C24</f>
        <v>23756</v>
      </c>
      <c r="F24" s="18">
        <f>613+123+280</f>
        <v>1016</v>
      </c>
      <c r="G24" s="18">
        <f>1748+134+5</f>
        <v>1887</v>
      </c>
      <c r="H24" s="18">
        <v>17390</v>
      </c>
      <c r="I24" s="18">
        <v>8198</v>
      </c>
      <c r="J24" s="18">
        <f>H24+I24-C24-E24</f>
        <v>0</v>
      </c>
      <c r="K24" s="16">
        <f>E24/E23-1</f>
        <v>-0.0498740151181858</v>
      </c>
      <c r="L24" s="18">
        <f>C24-H24</f>
        <v>-15558</v>
      </c>
      <c r="M24" s="18"/>
    </row>
    <row r="25" ht="20.05" customHeight="1">
      <c r="B25" s="31"/>
      <c r="C25" s="17">
        <f>122+881+879</f>
        <v>1882</v>
      </c>
      <c r="D25" s="18">
        <v>25494</v>
      </c>
      <c r="E25" s="18">
        <f>D25-C25</f>
        <v>23612</v>
      </c>
      <c r="F25" s="18">
        <f>624+148+295</f>
        <v>1067</v>
      </c>
      <c r="G25" s="18">
        <f>1500+135+9</f>
        <v>1644</v>
      </c>
      <c r="H25" s="18">
        <v>17516</v>
      </c>
      <c r="I25" s="18">
        <v>7978</v>
      </c>
      <c r="J25" s="18">
        <f>H25+I25-C25-E25</f>
        <v>0</v>
      </c>
      <c r="K25" s="16">
        <f>E25/E24-1</f>
        <v>-0.00606162653645395</v>
      </c>
      <c r="L25" s="18">
        <f>C25-H25</f>
        <v>-15634</v>
      </c>
      <c r="M25" s="18"/>
    </row>
    <row r="26" ht="20.05" customHeight="1">
      <c r="B26" s="31"/>
      <c r="C26" s="17">
        <f>141+134+679</f>
        <v>954</v>
      </c>
      <c r="D26" s="18">
        <v>24022</v>
      </c>
      <c r="E26" s="18">
        <f>D26-C26</f>
        <v>23068</v>
      </c>
      <c r="F26" s="18">
        <f>632+172+310</f>
        <v>1114</v>
      </c>
      <c r="G26" s="18">
        <f>1290+141+10</f>
        <v>1441</v>
      </c>
      <c r="H26" s="18">
        <v>15728</v>
      </c>
      <c r="I26" s="18">
        <v>8294</v>
      </c>
      <c r="J26" s="18">
        <f>H26+I26-C26-E26</f>
        <v>0</v>
      </c>
      <c r="K26" s="16">
        <f>E26/E25-1</f>
        <v>-0.0230391326444181</v>
      </c>
      <c r="L26" s="18">
        <f>C26-H26</f>
        <v>-14774</v>
      </c>
      <c r="M26" s="18"/>
    </row>
    <row r="27" ht="20.05" customHeight="1">
      <c r="B27" s="31"/>
      <c r="C27" s="17">
        <f>154+877+607</f>
        <v>1638</v>
      </c>
      <c r="D27" s="18">
        <v>23726</v>
      </c>
      <c r="E27" s="18">
        <f>D27-C27</f>
        <v>22088</v>
      </c>
      <c r="F27" s="18">
        <f>615+168+326</f>
        <v>1109</v>
      </c>
      <c r="G27" s="18">
        <f>1219+146+12</f>
        <v>1377</v>
      </c>
      <c r="H27" s="18">
        <v>14839</v>
      </c>
      <c r="I27" s="18">
        <v>8887</v>
      </c>
      <c r="J27" s="18">
        <f>H27+I27-C27-E27</f>
        <v>0</v>
      </c>
      <c r="K27" s="16">
        <f>E27/E26-1</f>
        <v>-0.0424830934628056</v>
      </c>
      <c r="L27" s="18">
        <f>C27-H27</f>
        <v>-13201</v>
      </c>
      <c r="M27" s="23"/>
    </row>
    <row r="28" ht="20.05" customHeight="1">
      <c r="B28" s="32">
        <v>2022</v>
      </c>
      <c r="C28" s="17">
        <f>C27+'Cashflow'!D32+'Cashflow'!E32+'Cashflow'!I32</f>
        <v>3198.8</v>
      </c>
      <c r="D28" s="18">
        <v>24862</v>
      </c>
      <c r="E28" s="18">
        <f>D28-C28</f>
        <v>21663.2</v>
      </c>
      <c r="F28" s="18">
        <f>F27+'Sales'!E32</f>
        <v>1115</v>
      </c>
      <c r="G28" s="18">
        <f>G27+'Sales'!F32</f>
        <v>1757</v>
      </c>
      <c r="H28" s="18">
        <v>16260</v>
      </c>
      <c r="I28" s="18">
        <f>D28-H28</f>
        <v>8602</v>
      </c>
      <c r="J28" s="18">
        <f>H28+I28-C28-E28</f>
        <v>0</v>
      </c>
      <c r="K28" s="16">
        <f>E28/E27-1</f>
        <v>-0.0192321622600507</v>
      </c>
      <c r="L28" s="18">
        <f>C28-H28</f>
        <v>-13061.2</v>
      </c>
      <c r="M28" s="18">
        <f>L28</f>
        <v>-13061.2</v>
      </c>
    </row>
    <row r="29" ht="20.05" customHeight="1">
      <c r="B29" s="31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>
        <f>'Model'!F31</f>
        <v>-11764.0279273381</v>
      </c>
    </row>
  </sheetData>
  <mergeCells count="1">
    <mergeCell ref="B2:M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9" customWidth="1"/>
    <col min="2" max="5" width="11.0547" style="39" customWidth="1"/>
    <col min="6" max="16384" width="16.3516" style="39" customWidth="1"/>
  </cols>
  <sheetData>
    <row r="1" ht="40" customHeight="1"/>
    <row r="2" ht="27.65" customHeight="1">
      <c r="B2" t="s" s="2">
        <v>56</v>
      </c>
      <c r="C2" s="2"/>
      <c r="D2" s="2"/>
      <c r="E2" s="2"/>
    </row>
    <row r="3" ht="20.25" customHeight="1">
      <c r="B3" t="s" s="3">
        <v>57</v>
      </c>
      <c r="C3" t="s" s="3">
        <v>58</v>
      </c>
      <c r="D3" t="s" s="3">
        <v>59</v>
      </c>
      <c r="E3" t="s" s="3">
        <v>60</v>
      </c>
    </row>
    <row r="4" ht="20.25" customHeight="1">
      <c r="B4" s="27">
        <v>2018</v>
      </c>
      <c r="C4" s="36">
        <v>8900</v>
      </c>
      <c r="D4" s="8"/>
      <c r="E4" s="8"/>
    </row>
    <row r="5" ht="20.05" customHeight="1">
      <c r="B5" s="31"/>
      <c r="C5" s="17">
        <v>8000</v>
      </c>
      <c r="D5" s="23"/>
      <c r="E5" s="23"/>
    </row>
    <row r="6" ht="20.05" customHeight="1">
      <c r="B6" s="31"/>
      <c r="C6" s="17">
        <v>8400</v>
      </c>
      <c r="D6" s="23"/>
      <c r="E6" s="23"/>
    </row>
    <row r="7" ht="20.05" customHeight="1">
      <c r="B7" s="31"/>
      <c r="C7" s="17">
        <v>9100</v>
      </c>
      <c r="D7" s="23"/>
      <c r="E7" s="23"/>
    </row>
    <row r="8" ht="20.05" customHeight="1">
      <c r="B8" s="32">
        <v>2019</v>
      </c>
      <c r="C8" s="17">
        <v>10900</v>
      </c>
      <c r="D8" s="23"/>
      <c r="E8" s="23"/>
    </row>
    <row r="9" ht="20.05" customHeight="1">
      <c r="B9" s="31"/>
      <c r="C9" s="17">
        <v>9850</v>
      </c>
      <c r="D9" s="23"/>
      <c r="E9" s="23"/>
    </row>
    <row r="10" ht="20.05" customHeight="1">
      <c r="B10" s="31"/>
      <c r="C10" s="17">
        <v>10600</v>
      </c>
      <c r="D10" s="23"/>
      <c r="E10" s="23"/>
    </row>
    <row r="11" ht="20.05" customHeight="1">
      <c r="B11" s="31"/>
      <c r="C11" s="17">
        <v>10400</v>
      </c>
      <c r="D11" s="23"/>
      <c r="E11" s="23"/>
    </row>
    <row r="12" ht="20.05" customHeight="1">
      <c r="B12" s="32">
        <v>2020</v>
      </c>
      <c r="C12" s="17">
        <v>7175</v>
      </c>
      <c r="D12" s="23"/>
      <c r="E12" s="23"/>
    </row>
    <row r="13" ht="20.05" customHeight="1">
      <c r="B13" s="31"/>
      <c r="C13" s="17">
        <v>7200</v>
      </c>
      <c r="D13" s="23"/>
      <c r="E13" s="23"/>
    </row>
    <row r="14" ht="20.05" customHeight="1">
      <c r="B14" s="31"/>
      <c r="C14" s="17">
        <v>7225</v>
      </c>
      <c r="D14" s="23"/>
      <c r="E14" s="23"/>
    </row>
    <row r="15" ht="20.05" customHeight="1">
      <c r="B15" s="31"/>
      <c r="C15" s="17">
        <v>8975</v>
      </c>
      <c r="D15" s="23"/>
      <c r="E15" s="23"/>
    </row>
    <row r="16" ht="20.05" customHeight="1">
      <c r="B16" s="32">
        <v>2021</v>
      </c>
      <c r="C16" s="17">
        <v>8325</v>
      </c>
      <c r="D16" s="23"/>
      <c r="E16" s="23"/>
    </row>
    <row r="17" ht="20.05" customHeight="1">
      <c r="B17" s="31"/>
      <c r="C17" s="17">
        <v>8175</v>
      </c>
      <c r="D17" s="23"/>
      <c r="E17" s="23"/>
    </row>
    <row r="18" ht="20.05" customHeight="1">
      <c r="B18" s="31"/>
      <c r="C18" s="17">
        <v>7700</v>
      </c>
      <c r="D18" s="23"/>
      <c r="E18" s="23"/>
    </row>
    <row r="19" ht="20.05" customHeight="1">
      <c r="B19" s="31"/>
      <c r="C19" s="17">
        <v>7700</v>
      </c>
      <c r="D19" s="23"/>
      <c r="E19" s="23"/>
    </row>
    <row r="20" ht="20.05" customHeight="1">
      <c r="B20" s="32">
        <v>2022</v>
      </c>
      <c r="C20" s="17">
        <v>8575</v>
      </c>
      <c r="D20" s="23"/>
      <c r="E20" s="23"/>
    </row>
    <row r="21" ht="20.05" customHeight="1">
      <c r="B21" s="31"/>
      <c r="C21" s="17">
        <v>8300</v>
      </c>
      <c r="D21" s="18">
        <f>C21</f>
        <v>8300</v>
      </c>
      <c r="E21" s="18">
        <v>12907.119207805</v>
      </c>
    </row>
    <row r="22" ht="20.05" customHeight="1">
      <c r="B22" s="31"/>
      <c r="C22" s="17"/>
      <c r="D22" s="18">
        <f>'Model'!F44</f>
        <v>11976.0835318607</v>
      </c>
      <c r="E22" s="23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1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1.9375" style="40" customWidth="1"/>
    <col min="11" max="16384" width="16.3516" style="40" customWidth="1"/>
  </cols>
  <sheetData>
    <row r="1" ht="27.65" customHeight="1">
      <c r="A1" t="s" s="2">
        <v>61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3">
        <v>1</v>
      </c>
      <c r="B2" t="s" s="3">
        <v>11</v>
      </c>
      <c r="C2" t="s" s="3">
        <v>26</v>
      </c>
      <c r="D2" t="s" s="3">
        <v>62</v>
      </c>
      <c r="E2" t="s" s="3">
        <v>11</v>
      </c>
      <c r="F2" t="s" s="3">
        <v>26</v>
      </c>
      <c r="G2" t="s" s="3">
        <v>62</v>
      </c>
      <c r="H2" s="4"/>
      <c r="I2" s="4"/>
      <c r="J2" s="4"/>
    </row>
    <row r="3" ht="20.25" customHeight="1">
      <c r="A3" s="27">
        <v>2006</v>
      </c>
      <c r="B3" s="36">
        <f>1071+124-C3</f>
        <v>1433</v>
      </c>
      <c r="C3" s="37">
        <v>-238</v>
      </c>
      <c r="D3" s="37">
        <f>B3+C3</f>
        <v>1195</v>
      </c>
      <c r="E3" s="37">
        <f>B3</f>
        <v>1433</v>
      </c>
      <c r="F3" s="37">
        <f>C3</f>
        <v>-238</v>
      </c>
      <c r="G3" s="37">
        <f>D3</f>
        <v>1195</v>
      </c>
      <c r="H3" s="8"/>
      <c r="I3" s="8"/>
      <c r="J3" s="8"/>
    </row>
    <row r="4" ht="20.05" customHeight="1">
      <c r="A4" s="32">
        <v>2007</v>
      </c>
      <c r="B4" s="17">
        <f>1925+174-C4</f>
        <v>2331</v>
      </c>
      <c r="C4" s="18">
        <v>-232</v>
      </c>
      <c r="D4" s="18">
        <f>B4+C4</f>
        <v>2099</v>
      </c>
      <c r="E4" s="18">
        <f>B4+E3</f>
        <v>3764</v>
      </c>
      <c r="F4" s="18">
        <f>C4+F3</f>
        <v>-470</v>
      </c>
      <c r="G4" s="18">
        <f>D4+G3</f>
        <v>3294</v>
      </c>
      <c r="H4" s="23"/>
      <c r="I4" s="23"/>
      <c r="J4" s="23"/>
    </row>
    <row r="5" ht="20.05" customHeight="1">
      <c r="A5" s="32">
        <v>2008</v>
      </c>
      <c r="B5" s="17">
        <f>3235+139-C5</f>
        <v>3654</v>
      </c>
      <c r="C5" s="18">
        <v>-280</v>
      </c>
      <c r="D5" s="18">
        <f>B5+C5</f>
        <v>3374</v>
      </c>
      <c r="E5" s="18">
        <f>B5+E4</f>
        <v>7418</v>
      </c>
      <c r="F5" s="18">
        <f>C5+F4</f>
        <v>-750</v>
      </c>
      <c r="G5" s="18">
        <f>D5+G4</f>
        <v>6668</v>
      </c>
      <c r="H5" s="23"/>
      <c r="I5" s="23"/>
      <c r="J5" s="23"/>
    </row>
    <row r="6" ht="20.05" customHeight="1">
      <c r="A6" s="32">
        <v>2009</v>
      </c>
      <c r="B6" s="17">
        <f>1527-C6</f>
        <v>2037</v>
      </c>
      <c r="C6" s="18">
        <v>-510</v>
      </c>
      <c r="D6" s="18">
        <f>B6+C6</f>
        <v>1527</v>
      </c>
      <c r="E6" s="18">
        <f>B6+E5</f>
        <v>9455</v>
      </c>
      <c r="F6" s="18">
        <f>C6+F5</f>
        <v>-1260</v>
      </c>
      <c r="G6" s="18">
        <f>D6+G5</f>
        <v>8195</v>
      </c>
      <c r="H6" s="23"/>
      <c r="I6" s="23"/>
      <c r="J6" s="23"/>
    </row>
    <row r="7" ht="20.05" customHeight="1">
      <c r="A7" s="32">
        <f>1+$A6</f>
        <v>2010</v>
      </c>
      <c r="B7" s="17">
        <f>9724-C7</f>
        <v>9967</v>
      </c>
      <c r="C7" s="18">
        <v>-243</v>
      </c>
      <c r="D7" s="18">
        <f>B7+C7</f>
        <v>9724</v>
      </c>
      <c r="E7" s="18">
        <f>B7+E6</f>
        <v>19422</v>
      </c>
      <c r="F7" s="18">
        <f>C7+F6</f>
        <v>-1503</v>
      </c>
      <c r="G7" s="18">
        <f>D7+G6</f>
        <v>17919</v>
      </c>
      <c r="H7" s="23"/>
      <c r="I7" s="23"/>
      <c r="J7" s="23"/>
    </row>
    <row r="8" ht="20.05" customHeight="1">
      <c r="A8" s="32">
        <f>1+$A7</f>
        <v>2011</v>
      </c>
      <c r="B8" s="17">
        <f>12218-C8</f>
        <v>13172</v>
      </c>
      <c r="C8" s="18">
        <v>-954</v>
      </c>
      <c r="D8" s="18">
        <f>B8+C8</f>
        <v>12218</v>
      </c>
      <c r="E8" s="18">
        <f>B8+E7</f>
        <v>32594</v>
      </c>
      <c r="F8" s="18">
        <f>C8+F7</f>
        <v>-2457</v>
      </c>
      <c r="G8" s="18">
        <f>D8+G7</f>
        <v>30137</v>
      </c>
      <c r="H8" s="23"/>
      <c r="I8" s="23"/>
      <c r="J8" s="23"/>
    </row>
    <row r="9" ht="20.05" customHeight="1">
      <c r="A9" s="32">
        <f>1+$A8</f>
        <v>2012</v>
      </c>
      <c r="B9" s="17">
        <f>2702-C9</f>
        <v>3494</v>
      </c>
      <c r="C9" s="18">
        <v>-792</v>
      </c>
      <c r="D9" s="18">
        <f>B9+C9</f>
        <v>2702</v>
      </c>
      <c r="E9" s="18">
        <f>B9+E8</f>
        <v>36088</v>
      </c>
      <c r="F9" s="18">
        <f>C9+F8</f>
        <v>-3249</v>
      </c>
      <c r="G9" s="18">
        <f>D9+G8</f>
        <v>32839</v>
      </c>
      <c r="H9" s="23"/>
      <c r="I9" s="23"/>
      <c r="J9" s="23"/>
    </row>
    <row r="10" ht="20.05" customHeight="1">
      <c r="A10" s="32">
        <f>1+$A9</f>
        <v>2013</v>
      </c>
      <c r="B10" s="17">
        <f>652-C10</f>
        <v>1361</v>
      </c>
      <c r="C10" s="18">
        <v>-709</v>
      </c>
      <c r="D10" s="18">
        <f>B10+C10</f>
        <v>652</v>
      </c>
      <c r="E10" s="18">
        <f>B10+E9</f>
        <v>37449</v>
      </c>
      <c r="F10" s="18">
        <f>C10+F9</f>
        <v>-3958</v>
      </c>
      <c r="G10" s="18">
        <f>D10+G9</f>
        <v>33491</v>
      </c>
      <c r="H10" s="23"/>
      <c r="I10" s="23"/>
      <c r="J10" s="23"/>
    </row>
    <row r="11" ht="20.05" customHeight="1">
      <c r="A11" s="32">
        <f>1+$A10</f>
        <v>2014</v>
      </c>
      <c r="B11" s="17">
        <f>789-C11</f>
        <v>3489</v>
      </c>
      <c r="C11" s="18">
        <v>-2700</v>
      </c>
      <c r="D11" s="18">
        <f>B11+C11</f>
        <v>789</v>
      </c>
      <c r="E11" s="18">
        <f>B11+E10</f>
        <v>40938</v>
      </c>
      <c r="F11" s="18">
        <f>C11+F10</f>
        <v>-6658</v>
      </c>
      <c r="G11" s="18">
        <f>D11+G10</f>
        <v>34280</v>
      </c>
      <c r="H11" s="23"/>
      <c r="I11" s="23"/>
      <c r="J11" s="23"/>
    </row>
    <row r="12" ht="20.05" customHeight="1">
      <c r="A12" s="32">
        <f>1+$A11</f>
        <v>2015</v>
      </c>
      <c r="B12" s="17">
        <f>-2404-C12</f>
        <v>-2008</v>
      </c>
      <c r="C12" s="18">
        <v>-396</v>
      </c>
      <c r="D12" s="18">
        <f>B12+C12</f>
        <v>-2404</v>
      </c>
      <c r="E12" s="18">
        <f>B12+E11</f>
        <v>38930</v>
      </c>
      <c r="F12" s="18">
        <f>C12+F11</f>
        <v>-7054</v>
      </c>
      <c r="G12" s="18">
        <f>D12+G11</f>
        <v>31876</v>
      </c>
      <c r="H12" s="23"/>
      <c r="I12" s="23"/>
      <c r="J12" s="23"/>
    </row>
    <row r="13" ht="20.05" customHeight="1">
      <c r="A13" s="32">
        <f>1+$A12</f>
        <v>2016</v>
      </c>
      <c r="B13" s="17">
        <f>-2577-C13</f>
        <v>-2244</v>
      </c>
      <c r="C13" s="18">
        <v>-333</v>
      </c>
      <c r="D13" s="18">
        <f>B13+C13</f>
        <v>-2577</v>
      </c>
      <c r="E13" s="18">
        <f>B13+E12</f>
        <v>36686</v>
      </c>
      <c r="F13" s="18">
        <f>C13+F12</f>
        <v>-7387</v>
      </c>
      <c r="G13" s="18">
        <f>D13+G12</f>
        <v>29299</v>
      </c>
      <c r="H13" s="23"/>
      <c r="I13" s="23"/>
      <c r="J13" s="23"/>
    </row>
    <row r="14" ht="20.05" customHeight="1">
      <c r="A14" s="32">
        <f>1+$A13</f>
        <v>2017</v>
      </c>
      <c r="B14" s="17">
        <f>366-C14</f>
        <v>871</v>
      </c>
      <c r="C14" s="18">
        <v>-505</v>
      </c>
      <c r="D14" s="18">
        <f>B14+C14</f>
        <v>366</v>
      </c>
      <c r="E14" s="18">
        <f>B14+E13</f>
        <v>37557</v>
      </c>
      <c r="F14" s="18">
        <f>C14+F13</f>
        <v>-7892</v>
      </c>
      <c r="G14" s="18">
        <f>D14+G13</f>
        <v>29665</v>
      </c>
      <c r="H14" s="23"/>
      <c r="I14" s="23"/>
      <c r="J14" s="23"/>
    </row>
    <row r="15" ht="20.05" customHeight="1">
      <c r="A15" s="32">
        <f>1+$A14</f>
        <v>2018</v>
      </c>
      <c r="B15" s="17">
        <f>269-C15</f>
        <v>974</v>
      </c>
      <c r="C15" s="18">
        <v>-705</v>
      </c>
      <c r="D15" s="18">
        <f>B15+C15</f>
        <v>269</v>
      </c>
      <c r="E15" s="18">
        <f>B15+E14</f>
        <v>38531</v>
      </c>
      <c r="F15" s="18">
        <f>C15+F14</f>
        <v>-8597</v>
      </c>
      <c r="G15" s="18">
        <f>D15+G14</f>
        <v>29934</v>
      </c>
      <c r="H15" s="23"/>
      <c r="I15" s="23"/>
      <c r="J15" s="23"/>
    </row>
    <row r="16" ht="20.05" customHeight="1">
      <c r="A16" s="32">
        <f>1+$A15</f>
        <v>2019</v>
      </c>
      <c r="B16" s="17">
        <f>403-C16</f>
        <v>1311</v>
      </c>
      <c r="C16" s="18">
        <v>-908</v>
      </c>
      <c r="D16" s="18">
        <f>B16+C16</f>
        <v>403</v>
      </c>
      <c r="E16" s="18">
        <f>B16+E15</f>
        <v>39842</v>
      </c>
      <c r="F16" s="18">
        <f>C16+F15</f>
        <v>-9505</v>
      </c>
      <c r="G16" s="18">
        <f>D16+G15</f>
        <v>30337</v>
      </c>
      <c r="H16" s="23"/>
      <c r="I16" s="23"/>
      <c r="J16" s="23"/>
    </row>
    <row r="17" ht="20.05" customHeight="1">
      <c r="A17" s="32">
        <f>1+$A16</f>
        <v>2020</v>
      </c>
      <c r="B17" s="17">
        <f>-7216-C17</f>
        <v>-6162</v>
      </c>
      <c r="C17" s="18">
        <v>-1054</v>
      </c>
      <c r="D17" s="18">
        <f>B17+C17</f>
        <v>-7216</v>
      </c>
      <c r="E17" s="18">
        <f>B17+E16</f>
        <v>33680</v>
      </c>
      <c r="F17" s="18">
        <f>C17+F16</f>
        <v>-10559</v>
      </c>
      <c r="G17" s="18">
        <f>D17+G16</f>
        <v>23121</v>
      </c>
      <c r="H17" s="23"/>
      <c r="I17" s="23"/>
      <c r="J17" s="23"/>
    </row>
    <row r="18" ht="20.05" customHeight="1">
      <c r="A18" s="32">
        <f>1+$A17</f>
        <v>2021</v>
      </c>
      <c r="B18" s="17">
        <f>-6588-C18</f>
        <v>-6075</v>
      </c>
      <c r="C18" s="18">
        <v>-513</v>
      </c>
      <c r="D18" s="18">
        <f>B18+C18</f>
        <v>-6588</v>
      </c>
      <c r="E18" s="18">
        <f>B18+E17</f>
        <v>27605</v>
      </c>
      <c r="F18" s="18">
        <f>C18+F17</f>
        <v>-11072</v>
      </c>
      <c r="G18" s="18">
        <f>D18+G17</f>
        <v>16533</v>
      </c>
      <c r="H18" s="18">
        <f>AVERAGE(D3:D18)</f>
        <v>1033.3125</v>
      </c>
      <c r="I18" s="18">
        <f>AVERAGE(D14:D18)</f>
        <v>-2553.2</v>
      </c>
      <c r="J18" s="22">
        <f>D18</f>
        <v>-6588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