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<sst xmlns="http://schemas.openxmlformats.org/spreadsheetml/2006/main" uniqueCount="61">
  <si>
    <t>Financial model</t>
  </si>
  <si>
    <t>Rpbn</t>
  </si>
  <si>
    <t>4Q 2022</t>
  </si>
  <si>
    <t>Cash flow</t>
  </si>
  <si>
    <t>Growth</t>
  </si>
  <si>
    <t>Sales</t>
  </si>
  <si>
    <t>Cost ratio</t>
  </si>
  <si>
    <t xml:space="preserve">Cash costs </t>
  </si>
  <si>
    <t>Operating</t>
  </si>
  <si>
    <t>Investment</t>
  </si>
  <si>
    <t xml:space="preserve">Leases 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</si>
  <si>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</si>
  <si>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</si>
  <si>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</si>
  <si>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</si>
  <si>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</si>
  <si>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</si>
  <si>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</si>
  <si>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</si>
  <si>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</si>
  <si>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</si>
  <si>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</si>
  <si>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</si>
  <si>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</si>
  <si>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</si>
  <si>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</si>
  <si>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</si>
  <si>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</si>
  <si>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>Net cash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</si>
  <si>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</si>
  <si>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</si>
  <si>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</si>
  <si>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</si>
  <si>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</si>
  <si>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</si>
  <si>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</si>
  <si>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</si>
  <si>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</si>
  <si>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</si>
  <si>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</si>
  <si>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</si>
  <si>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</si>
  <si>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</si>
  <si>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</si>
  <si>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 xml:space="preserve">Sales growth </t>
  </si>
  <si>
    <t xml:space="preserve">Cost ratio </t>
  </si>
  <si>
    <t>Cashflow costs</t>
  </si>
  <si>
    <t xml:space="preserve">Receipts </t>
  </si>
  <si>
    <t xml:space="preserve">Operating </t>
  </si>
  <si>
    <t xml:space="preserve">Investment </t>
  </si>
  <si>
    <t>Lease</t>
  </si>
  <si>
    <t>Interest</t>
  </si>
  <si>
    <t xml:space="preserve">Free cashflow </t>
  </si>
  <si>
    <t xml:space="preserve">Cashflow </t>
  </si>
  <si>
    <t>Balance Sheet</t>
  </si>
  <si>
    <t>Cash</t>
  </si>
  <si>
    <t>Assets</t>
  </si>
  <si>
    <t>Liabilities</t>
  </si>
  <si>
    <t>Trading Data</t>
  </si>
  <si>
    <t>ADHI</t>
  </si>
  <si>
    <t xml:space="preserve">Previous 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</si>
</sst>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"/>
    <numFmt numFmtId="60" formatCode="#,##0.0"/>
    <numFmt numFmtId="61" formatCode="0.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177498</xdr:colOff>
      <xdr:row>1</xdr:row>
      <xdr:rowOff>189506</xdr:rowOff>
    </xdr:from>
    <xdr:to>
      <xdr:col>13</xdr:col>
      <xdr:colOff>591597</xdr:colOff>
      <xdr:row>48</xdr:row>
      <xdr:rowOff>140700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482798" y="451761"/>
          <a:ext cx="9126300" cy="120206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15625" style="1" customWidth="1"/>
    <col min="2" max="2" width="15.6172" style="1" customWidth="1"/>
    <col min="3" max="6" width="9.21875" style="1" customWidth="1"/>
    <col min="7" max="16384" width="16.3516" style="1" customWidth="1"/>
  </cols>
  <sheetData>
    <row r="1" ht="20.6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AVERAGE('Sales'!G20:G23)</f>
        <v>0.169868414033763</v>
      </c>
      <c r="D4" s="8"/>
      <c r="E4" s="8"/>
      <c r="F4" s="9">
        <f>AVERAGE(C5:F5)</f>
        <v>0.05</v>
      </c>
    </row>
    <row r="5" ht="20.05" customHeight="1">
      <c r="B5" t="s" s="10">
        <v>4</v>
      </c>
      <c r="C5" s="11">
        <v>-0.07000000000000001</v>
      </c>
      <c r="D5" s="12">
        <v>0.07000000000000001</v>
      </c>
      <c r="E5" s="12">
        <v>0.1</v>
      </c>
      <c r="F5" s="12">
        <v>0.1</v>
      </c>
    </row>
    <row r="6" ht="20.05" customHeight="1">
      <c r="B6" t="s" s="10">
        <v>5</v>
      </c>
      <c r="C6" s="13">
        <f>'Sales'!C23*(1+C5)</f>
        <v>3887.121</v>
      </c>
      <c r="D6" s="14">
        <f>C6*(1+D5)</f>
        <v>4159.21947</v>
      </c>
      <c r="E6" s="14">
        <f>D6*(1+E5)</f>
        <v>4575.141417</v>
      </c>
      <c r="F6" s="14">
        <f>E6*(1+F5)</f>
        <v>5032.6555587</v>
      </c>
    </row>
    <row r="7" ht="20.05" customHeight="1">
      <c r="B7" t="s" s="10">
        <v>6</v>
      </c>
      <c r="C7" s="15">
        <f>AVERAGE('Sales'!H23)</f>
        <v>-0.969710744790296</v>
      </c>
      <c r="D7" s="16">
        <f>C7</f>
        <v>-0.969710744790296</v>
      </c>
      <c r="E7" s="16">
        <f>D7</f>
        <v>-0.969710744790296</v>
      </c>
      <c r="F7" s="16">
        <f>E7</f>
        <v>-0.969710744790296</v>
      </c>
    </row>
    <row r="8" ht="20.05" customHeight="1">
      <c r="B8" t="s" s="10">
        <v>7</v>
      </c>
      <c r="C8" s="17">
        <f>C7*C6</f>
        <v>-3769.383</v>
      </c>
      <c r="D8" s="18">
        <f>D7*D6</f>
        <v>-4033.23981</v>
      </c>
      <c r="E8" s="18">
        <f>E7*E6</f>
        <v>-4436.563791</v>
      </c>
      <c r="F8" s="18">
        <f>F7*F6</f>
        <v>-4880.2201701</v>
      </c>
    </row>
    <row r="9" ht="20.05" customHeight="1">
      <c r="B9" t="s" s="10">
        <v>8</v>
      </c>
      <c r="C9" s="17">
        <f>C6+C8</f>
        <v>117.738</v>
      </c>
      <c r="D9" s="18">
        <f>D6+D8</f>
        <v>125.97966</v>
      </c>
      <c r="E9" s="18">
        <f>E6+E8</f>
        <v>138.577626</v>
      </c>
      <c r="F9" s="18">
        <f>F6+F8</f>
        <v>152.4353886</v>
      </c>
    </row>
    <row r="10" ht="20.05" customHeight="1">
      <c r="B10" t="s" s="10">
        <v>9</v>
      </c>
      <c r="C10" s="17">
        <f>AVERAGE('Cashflow '!E20)</f>
        <v>-14.6</v>
      </c>
      <c r="D10" s="18">
        <f>C10</f>
        <v>-14.6</v>
      </c>
      <c r="E10" s="18">
        <f>D10</f>
        <v>-14.6</v>
      </c>
      <c r="F10" s="18">
        <f>E10</f>
        <v>-14.6</v>
      </c>
    </row>
    <row r="11" ht="20.05" customHeight="1">
      <c r="B11" t="s" s="10">
        <v>10</v>
      </c>
      <c r="C11" s="17">
        <f>AVERAGE('Cashflow '!F20:F23)</f>
        <v>-10.775</v>
      </c>
      <c r="D11" s="18">
        <f>C11</f>
        <v>-10.775</v>
      </c>
      <c r="E11" s="18">
        <f>D11</f>
        <v>-10.775</v>
      </c>
      <c r="F11" s="18">
        <f>E11</f>
        <v>-10.775</v>
      </c>
    </row>
    <row r="12" ht="20.05" customHeight="1">
      <c r="B12" t="s" s="10">
        <v>11</v>
      </c>
      <c r="C12" s="17">
        <f>C13+C14+C16</f>
        <v>-103.138</v>
      </c>
      <c r="D12" s="18">
        <f>D13+D14+D16</f>
        <v>-111.37966</v>
      </c>
      <c r="E12" s="18">
        <f>E13+E14+E16</f>
        <v>-123.977626</v>
      </c>
      <c r="F12" s="18">
        <f>F13+F14+F16</f>
        <v>-137.8353886</v>
      </c>
    </row>
    <row r="13" ht="20.05" customHeight="1">
      <c r="B13" t="s" s="10">
        <v>12</v>
      </c>
      <c r="C13" s="17">
        <f>-('Balance sheet'!G19)/20</f>
        <v>-1712.1</v>
      </c>
      <c r="D13" s="18">
        <f>-C27/20</f>
        <v>-1626.495</v>
      </c>
      <c r="E13" s="18">
        <f>-D27/20</f>
        <v>-1545.17025</v>
      </c>
      <c r="F13" s="18">
        <f>-E27/20</f>
        <v>-1467.9117375</v>
      </c>
    </row>
    <row r="14" ht="20.05" customHeight="1">
      <c r="B14" t="s" s="10">
        <v>13</v>
      </c>
      <c r="C14" s="17">
        <f>IF(C22&gt;0,-C22*0.3,0)</f>
        <v>-16.3914</v>
      </c>
      <c r="D14" s="18">
        <f>IF(D22&gt;0,-D22*0.3,0)</f>
        <v>-18.863898</v>
      </c>
      <c r="E14" s="18">
        <f>IF(E22&gt;0,-E22*0.3,0)</f>
        <v>-22.6432878</v>
      </c>
      <c r="F14" s="18">
        <f>IF(F22&gt;0,-F22*0.3,0)</f>
        <v>-26.80061658</v>
      </c>
    </row>
    <row r="15" ht="20.05" customHeight="1">
      <c r="B15" t="s" s="10">
        <v>14</v>
      </c>
      <c r="C15" s="17">
        <f>C9+C10+C13+C14</f>
        <v>-1625.3534</v>
      </c>
      <c r="D15" s="18">
        <f>D9+D10+D13+D14</f>
        <v>-1533.979238</v>
      </c>
      <c r="E15" s="18">
        <f>E9+E10+E13+E14</f>
        <v>-1443.8359118</v>
      </c>
      <c r="F15" s="18">
        <f>F9+F10+F13+F14</f>
        <v>-1356.87696548</v>
      </c>
    </row>
    <row r="16" ht="20.05" customHeight="1">
      <c r="B16" t="s" s="10">
        <v>15</v>
      </c>
      <c r="C16" s="17">
        <f>-MIN(0,C15)</f>
        <v>1625.3534</v>
      </c>
      <c r="D16" s="18">
        <f>-MIN(C28,D15)</f>
        <v>1533.979238</v>
      </c>
      <c r="E16" s="18">
        <f>-MIN(D28,E15)</f>
        <v>1443.8359118</v>
      </c>
      <c r="F16" s="18">
        <f>-MIN(E28,F15)</f>
        <v>1356.87696548</v>
      </c>
    </row>
    <row r="17" ht="20.05" customHeight="1">
      <c r="B17" t="s" s="10">
        <v>16</v>
      </c>
      <c r="C17" s="17">
        <f>'Balance sheet'!C19</f>
        <v>3152</v>
      </c>
      <c r="D17" s="18">
        <f>C19</f>
        <v>3152</v>
      </c>
      <c r="E17" s="18">
        <f>D19</f>
        <v>3152</v>
      </c>
      <c r="F17" s="18">
        <f>E19</f>
        <v>3152</v>
      </c>
    </row>
    <row r="18" ht="20.05" customHeight="1">
      <c r="B18" t="s" s="10">
        <v>17</v>
      </c>
      <c r="C18" s="17">
        <f>C9+C10+C12</f>
        <v>0</v>
      </c>
      <c r="D18" s="18">
        <f>D9+D10+D12</f>
        <v>0</v>
      </c>
      <c r="E18" s="18">
        <f>E9+E10+E12</f>
        <v>0</v>
      </c>
      <c r="F18" s="18">
        <f>F9+F10+F12</f>
        <v>0</v>
      </c>
    </row>
    <row r="19" ht="20.05" customHeight="1">
      <c r="B19" t="s" s="10">
        <v>18</v>
      </c>
      <c r="C19" s="17">
        <f>C17+C18</f>
        <v>3152</v>
      </c>
      <c r="D19" s="18">
        <f>D17+D18</f>
        <v>3152</v>
      </c>
      <c r="E19" s="18">
        <f>E17+E18</f>
        <v>3152</v>
      </c>
      <c r="F19" s="18">
        <f>F17+F18</f>
        <v>3152</v>
      </c>
    </row>
    <row r="20" ht="20.05" customHeight="1">
      <c r="B20" t="s" s="19">
        <v>19</v>
      </c>
      <c r="C20" s="20"/>
      <c r="D20" s="21"/>
      <c r="E20" s="18"/>
      <c r="F20" s="22"/>
    </row>
    <row r="21" ht="20.05" customHeight="1">
      <c r="B21" t="s" s="10">
        <v>20</v>
      </c>
      <c r="C21" s="17">
        <f>-AVERAGE('Sales'!E23)</f>
        <v>-63.1</v>
      </c>
      <c r="D21" s="18">
        <f>C21</f>
        <v>-63.1</v>
      </c>
      <c r="E21" s="18">
        <f>D21</f>
        <v>-63.1</v>
      </c>
      <c r="F21" s="18">
        <f>E21</f>
        <v>-63.1</v>
      </c>
    </row>
    <row r="22" ht="20.05" customHeight="1">
      <c r="B22" t="s" s="10">
        <v>21</v>
      </c>
      <c r="C22" s="23">
        <f>C6+C8+C21</f>
        <v>54.638</v>
      </c>
      <c r="D22" s="24">
        <f>D6+D8+D21</f>
        <v>62.87966</v>
      </c>
      <c r="E22" s="24">
        <f>E6+E8+E21</f>
        <v>75.477626</v>
      </c>
      <c r="F22" s="24">
        <f>F6+F8+F21</f>
        <v>89.3353886</v>
      </c>
    </row>
    <row r="23" ht="20.05" customHeight="1">
      <c r="B23" t="s" s="19">
        <v>22</v>
      </c>
      <c r="C23" s="20"/>
      <c r="D23" s="21"/>
      <c r="E23" s="18"/>
      <c r="F23" s="18"/>
    </row>
    <row r="24" ht="20.05" customHeight="1">
      <c r="B24" t="s" s="10">
        <v>23</v>
      </c>
      <c r="C24" s="17">
        <f>'Balance sheet'!E19+'Balance sheet'!F19-C10</f>
        <v>37869.6</v>
      </c>
      <c r="D24" s="18">
        <f>C24-D10</f>
        <v>37884.2</v>
      </c>
      <c r="E24" s="18">
        <f>D24-E10</f>
        <v>37898.8</v>
      </c>
      <c r="F24" s="18">
        <f>E24-F10</f>
        <v>37913.4</v>
      </c>
    </row>
    <row r="25" ht="20.05" customHeight="1">
      <c r="B25" t="s" s="10">
        <v>24</v>
      </c>
      <c r="C25" s="17">
        <f>'Balance sheet'!F19-C21</f>
        <v>1170.1</v>
      </c>
      <c r="D25" s="18">
        <f>C25-D21</f>
        <v>1233.2</v>
      </c>
      <c r="E25" s="18">
        <f>D25-E21</f>
        <v>1296.3</v>
      </c>
      <c r="F25" s="18">
        <f>E25-F21</f>
        <v>1359.4</v>
      </c>
    </row>
    <row r="26" ht="20.05" customHeight="1">
      <c r="B26" t="s" s="10">
        <v>25</v>
      </c>
      <c r="C26" s="17">
        <f>C24-C25</f>
        <v>36699.5</v>
      </c>
      <c r="D26" s="18">
        <f>D24-D25</f>
        <v>36651</v>
      </c>
      <c r="E26" s="18">
        <f>E24-E25</f>
        <v>36602.5</v>
      </c>
      <c r="F26" s="18">
        <f>F24-F25</f>
        <v>36554</v>
      </c>
    </row>
    <row r="27" ht="20.05" customHeight="1">
      <c r="B27" t="s" s="10">
        <v>12</v>
      </c>
      <c r="C27" s="17">
        <f>'Balance sheet'!G19+C13</f>
        <v>32529.9</v>
      </c>
      <c r="D27" s="18">
        <f>C27+D13</f>
        <v>30903.405</v>
      </c>
      <c r="E27" s="18">
        <f>D27+E13</f>
        <v>29358.23475</v>
      </c>
      <c r="F27" s="18">
        <f>E27+F13</f>
        <v>27890.3230125</v>
      </c>
    </row>
    <row r="28" ht="20.05" customHeight="1">
      <c r="B28" t="s" s="10">
        <v>15</v>
      </c>
      <c r="C28" s="17">
        <f>C16</f>
        <v>1625.3534</v>
      </c>
      <c r="D28" s="18">
        <f>C28+D16</f>
        <v>3159.332638</v>
      </c>
      <c r="E28" s="18">
        <f>D28+E16</f>
        <v>4603.1685498</v>
      </c>
      <c r="F28" s="18">
        <f>E28+F16</f>
        <v>5960.04551528</v>
      </c>
    </row>
    <row r="29" ht="20.05" customHeight="1">
      <c r="B29" t="s" s="10">
        <v>26</v>
      </c>
      <c r="C29" s="17">
        <f>'Balance sheet'!H19+C22+C14</f>
        <v>5696.2466</v>
      </c>
      <c r="D29" s="18">
        <f>C29+D22+D14</f>
        <v>5740.262362</v>
      </c>
      <c r="E29" s="18">
        <f>D29+E22+E14</f>
        <v>5793.0967002</v>
      </c>
      <c r="F29" s="18">
        <f>E29+F22+F14</f>
        <v>5855.63147222</v>
      </c>
    </row>
    <row r="30" ht="20.05" customHeight="1">
      <c r="B30" t="s" s="10">
        <v>27</v>
      </c>
      <c r="C30" s="17">
        <f>C27+C28+C29-C19-C26</f>
        <v>0</v>
      </c>
      <c r="D30" s="18">
        <f>D27+D28+D29-D19-D26</f>
        <v>0</v>
      </c>
      <c r="E30" s="18">
        <f>E27+E28+E29-E19-E26</f>
        <v>0</v>
      </c>
      <c r="F30" s="18">
        <f>F27+F28+F29-F19-F26</f>
        <v>0</v>
      </c>
    </row>
    <row r="31" ht="20.05" customHeight="1">
      <c r="B31" t="s" s="10">
        <v>28</v>
      </c>
      <c r="C31" s="17">
        <f>C19-C27-C28</f>
        <v>-31003.2534</v>
      </c>
      <c r="D31" s="18">
        <f>D19-D27-D28</f>
        <v>-30910.737638</v>
      </c>
      <c r="E31" s="18">
        <f>E19-E27-E28</f>
        <v>-30809.4032998</v>
      </c>
      <c r="F31" s="18">
        <f>F19-F27-F28</f>
        <v>-30698.36852778</v>
      </c>
    </row>
    <row r="32" ht="20.05" customHeight="1">
      <c r="B32" t="s" s="19">
        <v>29</v>
      </c>
      <c r="C32" s="17"/>
      <c r="D32" s="18"/>
      <c r="E32" s="18"/>
      <c r="F32" s="18"/>
    </row>
    <row r="33" ht="20.05" customHeight="1">
      <c r="B33" t="s" s="10">
        <v>30</v>
      </c>
      <c r="C33" s="17">
        <f>'Cashflow '!N23-C12</f>
        <v>-5877.732</v>
      </c>
      <c r="D33" s="18">
        <f>C33-D12</f>
        <v>-5766.35234</v>
      </c>
      <c r="E33" s="18">
        <f>D33-E12</f>
        <v>-5642.374714</v>
      </c>
      <c r="F33" s="18">
        <f>E33-F12</f>
        <v>-5504.5393254</v>
      </c>
    </row>
    <row r="34" ht="20.05" customHeight="1">
      <c r="B34" t="s" s="10">
        <v>31</v>
      </c>
      <c r="C34" s="17"/>
      <c r="D34" s="18"/>
      <c r="E34" s="18"/>
      <c r="F34" s="18">
        <v>2937704000000</v>
      </c>
    </row>
    <row r="35" ht="20.05" customHeight="1">
      <c r="B35" t="s" s="10">
        <v>31</v>
      </c>
      <c r="C35" s="17"/>
      <c r="D35" s="18"/>
      <c r="E35" s="18"/>
      <c r="F35" s="18">
        <f>F34/1000000000</f>
        <v>2937.704</v>
      </c>
    </row>
    <row r="36" ht="20.05" customHeight="1">
      <c r="B36" t="s" s="10">
        <v>32</v>
      </c>
      <c r="C36" s="17"/>
      <c r="D36" s="18"/>
      <c r="E36" s="18"/>
      <c r="F36" s="25">
        <f>F35/(F19+F26)</f>
        <v>0.0739864000402962</v>
      </c>
    </row>
    <row r="37" ht="20.05" customHeight="1">
      <c r="B37" t="s" s="10">
        <v>33</v>
      </c>
      <c r="C37" s="17"/>
      <c r="D37" s="18"/>
      <c r="E37" s="18"/>
      <c r="F37" s="16">
        <f>-(C14+D14+E14+F14)/F35</f>
        <v>0.0288317687486554</v>
      </c>
    </row>
    <row r="38" ht="20.05" customHeight="1">
      <c r="B38" t="s" s="10">
        <v>34</v>
      </c>
      <c r="C38" s="17"/>
      <c r="D38" s="18"/>
      <c r="E38" s="18"/>
      <c r="F38" s="18">
        <f>SUM(C9:F11)</f>
        <v>433.2306746</v>
      </c>
    </row>
    <row r="39" ht="20.05" customHeight="1">
      <c r="B39" t="s" s="10">
        <v>35</v>
      </c>
      <c r="C39" s="17"/>
      <c r="D39" s="18"/>
      <c r="E39" s="18"/>
      <c r="F39" s="18">
        <f>'Balance sheet'!E19/F38</f>
        <v>84.82317193705011</v>
      </c>
    </row>
    <row r="40" ht="20.05" customHeight="1">
      <c r="B40" t="s" s="10">
        <v>29</v>
      </c>
      <c r="C40" s="17"/>
      <c r="D40" s="18"/>
      <c r="E40" s="18"/>
      <c r="F40" s="18">
        <f>F35/F38</f>
        <v>6.78092335615979</v>
      </c>
    </row>
    <row r="41" ht="20.05" customHeight="1">
      <c r="B41" t="s" s="10">
        <v>36</v>
      </c>
      <c r="C41" s="17"/>
      <c r="D41" s="18"/>
      <c r="E41" s="18"/>
      <c r="F41" s="18">
        <v>10</v>
      </c>
    </row>
    <row r="42" ht="20.05" customHeight="1">
      <c r="B42" t="s" s="10">
        <v>37</v>
      </c>
      <c r="C42" s="17"/>
      <c r="D42" s="18"/>
      <c r="E42" s="18"/>
      <c r="F42" s="18">
        <f>F38*F41</f>
        <v>4332.306746</v>
      </c>
    </row>
    <row r="43" ht="20.05" customHeight="1">
      <c r="B43" t="s" s="10">
        <v>38</v>
      </c>
      <c r="C43" s="17"/>
      <c r="D43" s="18"/>
      <c r="E43" s="18"/>
      <c r="F43" s="18">
        <f>F35/F45</f>
        <v>3.8152</v>
      </c>
    </row>
    <row r="44" ht="20.05" customHeight="1">
      <c r="B44" t="s" s="10">
        <v>39</v>
      </c>
      <c r="C44" s="13"/>
      <c r="D44" s="14"/>
      <c r="E44" s="14"/>
      <c r="F44" s="18">
        <f>F42/F43</f>
        <v>1135.538568358150</v>
      </c>
    </row>
    <row r="45" ht="20.05" customHeight="1">
      <c r="B45" t="s" s="10">
        <v>40</v>
      </c>
      <c r="C45" s="13"/>
      <c r="D45" s="14"/>
      <c r="E45" s="14"/>
      <c r="F45" s="14">
        <v>770</v>
      </c>
    </row>
    <row r="46" ht="20.05" customHeight="1">
      <c r="B46" t="s" s="10">
        <v>41</v>
      </c>
      <c r="C46" s="13"/>
      <c r="D46" s="14"/>
      <c r="E46" s="14"/>
      <c r="F46" s="16">
        <f>F44/F45-1</f>
        <v>0.474725413452143</v>
      </c>
    </row>
    <row r="47" ht="20.05" customHeight="1">
      <c r="B47" t="s" s="10">
        <v>42</v>
      </c>
      <c r="C47" s="13"/>
      <c r="D47" s="14"/>
      <c r="E47" s="22"/>
      <c r="F47" s="16">
        <f>'Sales'!C23/'Sales'!C19-1</f>
        <v>0.763586497890295</v>
      </c>
    </row>
    <row r="48" ht="20.05" customHeight="1">
      <c r="B48" t="s" s="10">
        <v>43</v>
      </c>
      <c r="C48" s="13"/>
      <c r="D48" s="14"/>
      <c r="E48" s="22"/>
      <c r="F48" s="16">
        <f>('Sales'!D22+'Sales'!D23)/('Sales'!C22+'Sales'!C23)-1</f>
        <v>-0.137691580343786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17188" style="26" customWidth="1"/>
    <col min="2" max="2" width="8.25781" style="26" customWidth="1"/>
    <col min="3" max="11" width="10.7266" style="26" customWidth="1"/>
    <col min="12" max="16384" width="16.3516" style="26" customWidth="1"/>
  </cols>
  <sheetData>
    <row r="1" ht="24.2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</v>
      </c>
      <c r="D3" t="s" s="5">
        <v>36</v>
      </c>
      <c r="E3" t="s" s="5">
        <v>24</v>
      </c>
      <c r="F3" t="s" s="5">
        <v>21</v>
      </c>
      <c r="G3" t="s" s="5">
        <v>44</v>
      </c>
      <c r="H3" t="s" s="5">
        <v>45</v>
      </c>
      <c r="I3" t="s" s="5">
        <v>45</v>
      </c>
      <c r="J3" t="s" s="5">
        <v>36</v>
      </c>
      <c r="K3" t="s" s="5">
        <v>46</v>
      </c>
    </row>
    <row r="4" ht="20.25" customHeight="1">
      <c r="B4" s="27">
        <v>2017</v>
      </c>
      <c r="C4" s="28">
        <v>2248.8</v>
      </c>
      <c r="D4" s="29"/>
      <c r="E4" s="30">
        <v>21.2</v>
      </c>
      <c r="F4" s="30">
        <v>19.2</v>
      </c>
      <c r="G4" s="31"/>
      <c r="H4" s="31">
        <f>(E4+F4-C4)/C4</f>
        <v>-0.982034863038065</v>
      </c>
      <c r="I4" s="9"/>
      <c r="J4" s="9"/>
      <c r="K4" s="9">
        <f>('Cashflow '!D4+'Cashflow '!G4-'Cashflow '!C4)/'Cashflow '!C4</f>
        <v>-1.54531532024285</v>
      </c>
    </row>
    <row r="5" ht="20.05" customHeight="1">
      <c r="B5" s="32"/>
      <c r="C5" s="17">
        <v>2935.6</v>
      </c>
      <c r="D5" s="33"/>
      <c r="E5" s="18">
        <v>20.8</v>
      </c>
      <c r="F5" s="18">
        <v>112.3</v>
      </c>
      <c r="G5" s="16">
        <f>C5/C4-1</f>
        <v>0.305407328352899</v>
      </c>
      <c r="H5" s="16">
        <f>(E5+F5-C5)/C5</f>
        <v>-0.95466003542717</v>
      </c>
      <c r="I5" s="12"/>
      <c r="J5" s="12"/>
      <c r="K5" s="12">
        <f>('Cashflow '!D5+'Cashflow '!G5-'Cashflow '!C5)/'Cashflow '!C5</f>
        <v>-1.53540290620872</v>
      </c>
    </row>
    <row r="6" ht="20.05" customHeight="1">
      <c r="B6" s="32"/>
      <c r="C6" s="17">
        <v>3530.5</v>
      </c>
      <c r="D6" s="33"/>
      <c r="E6" s="18">
        <v>22.6</v>
      </c>
      <c r="F6" s="18">
        <v>73.90000000000001</v>
      </c>
      <c r="G6" s="16">
        <f>C6/C5-1</f>
        <v>0.202650224826271</v>
      </c>
      <c r="H6" s="16">
        <f>(E6+F6-C6)/C6</f>
        <v>-0.972666761082</v>
      </c>
      <c r="I6" s="12"/>
      <c r="J6" s="12"/>
      <c r="K6" s="12">
        <f>('Cashflow '!D6+'Cashflow '!G6-'Cashflow '!C6)/'Cashflow '!C6</f>
        <v>-1.3331407346265</v>
      </c>
    </row>
    <row r="7" ht="20.05" customHeight="1">
      <c r="B7" s="32"/>
      <c r="C7" s="17">
        <v>6441.3</v>
      </c>
      <c r="D7" s="33"/>
      <c r="E7" s="18">
        <v>61.1</v>
      </c>
      <c r="F7" s="18">
        <v>311.7</v>
      </c>
      <c r="G7" s="16">
        <f>C7/C6-1</f>
        <v>0.824472454326583</v>
      </c>
      <c r="H7" s="16">
        <f>(E7+F7-C7)/C7</f>
        <v>-0.942123484389797</v>
      </c>
      <c r="I7" s="12"/>
      <c r="J7" s="12"/>
      <c r="K7" s="12">
        <f>('Cashflow '!D7+'Cashflow '!G7-'Cashflow '!C7)/'Cashflow '!C7</f>
        <v>-1.09412150735758</v>
      </c>
    </row>
    <row r="8" ht="20.05" customHeight="1">
      <c r="B8" s="34">
        <v>2018</v>
      </c>
      <c r="C8" s="17">
        <v>3141.9</v>
      </c>
      <c r="D8" s="33"/>
      <c r="E8" s="18">
        <v>36.9</v>
      </c>
      <c r="F8" s="18">
        <v>73.40000000000001</v>
      </c>
      <c r="G8" s="16">
        <f>C8/C7-1</f>
        <v>-0.512225792929999</v>
      </c>
      <c r="H8" s="16">
        <f>(E8+F8-C8)/C8</f>
        <v>-0.964893854037366</v>
      </c>
      <c r="I8" s="12">
        <f>AVERAGE(H5:H8)</f>
        <v>-0.958586033734083</v>
      </c>
      <c r="J8" s="12"/>
      <c r="K8" s="12">
        <f>('Cashflow '!D8+'Cashflow '!G8-'Cashflow '!C8)/'Cashflow '!C8</f>
        <v>-0.641538653233415</v>
      </c>
    </row>
    <row r="9" ht="20.05" customHeight="1">
      <c r="B9" s="32"/>
      <c r="C9" s="17">
        <v>2940.8</v>
      </c>
      <c r="D9" s="33"/>
      <c r="E9" s="18">
        <v>43.8</v>
      </c>
      <c r="F9" s="18">
        <v>139.7</v>
      </c>
      <c r="G9" s="16">
        <f>C9/C8-1</f>
        <v>-0.0640058563289729</v>
      </c>
      <c r="H9" s="16">
        <f>(E9+F9-C9)/C9</f>
        <v>-0.937602013057671</v>
      </c>
      <c r="I9" s="12">
        <f>AVERAGE(H6:H9)</f>
        <v>-0.954321528141709</v>
      </c>
      <c r="J9" s="12"/>
      <c r="K9" s="12">
        <f>('Cashflow '!D9+'Cashflow '!G9-'Cashflow '!C9)/'Cashflow '!C9</f>
        <v>-2.94459649995853</v>
      </c>
    </row>
    <row r="10" ht="20.05" customHeight="1">
      <c r="B10" s="32"/>
      <c r="C10" s="17">
        <v>3349.4</v>
      </c>
      <c r="D10" s="33"/>
      <c r="E10" s="18">
        <v>51.6</v>
      </c>
      <c r="F10" s="18">
        <v>123.1</v>
      </c>
      <c r="G10" s="16">
        <f>C10/C9-1</f>
        <v>0.138941784548422</v>
      </c>
      <c r="H10" s="16">
        <f>(E10+F10-C10)/C10</f>
        <v>-0.947841404430644</v>
      </c>
      <c r="I10" s="12">
        <f>AVERAGE(H7:H10)</f>
        <v>-0.94811518897887</v>
      </c>
      <c r="J10" s="12"/>
      <c r="K10" s="12">
        <f>('Cashflow '!D10+'Cashflow '!G10-'Cashflow '!C10)/'Cashflow '!C10</f>
        <v>-1.5768451992162</v>
      </c>
    </row>
    <row r="11" ht="20.05" customHeight="1">
      <c r="B11" s="32"/>
      <c r="C11" s="17">
        <v>6223.4</v>
      </c>
      <c r="D11" s="33"/>
      <c r="E11" s="18">
        <v>51.3</v>
      </c>
      <c r="F11" s="18">
        <v>308.8</v>
      </c>
      <c r="G11" s="16">
        <f>C11/C10-1</f>
        <v>0.858064130889114</v>
      </c>
      <c r="H11" s="16">
        <f>(E11+F11-C11)/C11</f>
        <v>-0.9421377382138379</v>
      </c>
      <c r="I11" s="12">
        <f>AVERAGE(H8:H11)</f>
        <v>-0.94811875243488</v>
      </c>
      <c r="J11" s="12"/>
      <c r="K11" s="12">
        <f>('Cashflow '!D11+'Cashflow '!G11-'Cashflow '!C11)/'Cashflow '!C11</f>
        <v>-0.6177817791256</v>
      </c>
    </row>
    <row r="12" ht="20.05" customHeight="1">
      <c r="B12" s="34">
        <v>2019</v>
      </c>
      <c r="C12" s="17">
        <v>2328</v>
      </c>
      <c r="D12" s="33"/>
      <c r="E12" s="18">
        <v>47.4</v>
      </c>
      <c r="F12" s="18">
        <v>75.59999999999999</v>
      </c>
      <c r="G12" s="16">
        <f>C12/C11-1</f>
        <v>-0.625927949352444</v>
      </c>
      <c r="H12" s="16">
        <f>(E12+F12-C12)/C12</f>
        <v>-0.947164948453608</v>
      </c>
      <c r="I12" s="12">
        <f>AVERAGE(H9:H12)</f>
        <v>-0.94368652603894</v>
      </c>
      <c r="J12" s="12"/>
      <c r="K12" s="12">
        <f>('Cashflow '!D12+'Cashflow '!G12-'Cashflow '!C12)/'Cashflow '!C12</f>
        <v>-1.49696815286624</v>
      </c>
    </row>
    <row r="13" ht="20.05" customHeight="1">
      <c r="B13" s="32"/>
      <c r="C13" s="17">
        <v>3098.2</v>
      </c>
      <c r="D13" s="33"/>
      <c r="E13" s="18">
        <v>40.9</v>
      </c>
      <c r="F13" s="18">
        <v>139.6</v>
      </c>
      <c r="G13" s="16">
        <f>C13/C12-1</f>
        <v>0.330841924398625</v>
      </c>
      <c r="H13" s="16">
        <f>(E13+F13-C13)/C13</f>
        <v>-0.941740365373443</v>
      </c>
      <c r="I13" s="12">
        <f>AVERAGE(H10:H13)</f>
        <v>-0.944721114117883</v>
      </c>
      <c r="J13" s="12"/>
      <c r="K13" s="12">
        <f>('Cashflow '!D13+'Cashflow '!G13-'Cashflow '!C13)/'Cashflow '!C13</f>
        <v>-1.37397186319032</v>
      </c>
    </row>
    <row r="14" ht="20.05" customHeight="1">
      <c r="B14" s="32"/>
      <c r="C14" s="17">
        <v>3515.4</v>
      </c>
      <c r="D14" s="33"/>
      <c r="E14" s="18">
        <v>41.9</v>
      </c>
      <c r="F14" s="18">
        <v>136.7</v>
      </c>
      <c r="G14" s="16">
        <f>C14/C13-1</f>
        <v>0.134658834161771</v>
      </c>
      <c r="H14" s="16">
        <f>(E14+F14-C14)/C14</f>
        <v>-0.949194970700347</v>
      </c>
      <c r="I14" s="12">
        <f>AVERAGE(H11:H14)</f>
        <v>-0.9450595056853091</v>
      </c>
      <c r="J14" s="12"/>
      <c r="K14" s="12">
        <f>('Cashflow '!D14+'Cashflow '!G14-'Cashflow '!C14)/'Cashflow '!C14</f>
        <v>-1.46356532800291</v>
      </c>
    </row>
    <row r="15" ht="20.05" customHeight="1">
      <c r="B15" s="32"/>
      <c r="C15" s="17">
        <v>6366.3</v>
      </c>
      <c r="D15" s="33"/>
      <c r="E15" s="18">
        <v>46.3</v>
      </c>
      <c r="F15" s="18">
        <v>313.1</v>
      </c>
      <c r="G15" s="16">
        <f>C15/C14-1</f>
        <v>0.810974569039085</v>
      </c>
      <c r="H15" s="16">
        <f>(E15+F15-C15)/C15</f>
        <v>-0.943546486970454</v>
      </c>
      <c r="I15" s="12">
        <f>AVERAGE(H12:H15)</f>
        <v>-0.945411692874463</v>
      </c>
      <c r="J15" s="12"/>
      <c r="K15" s="12">
        <f>('Cashflow '!D15+'Cashflow '!G15-'Cashflow '!C15)/'Cashflow '!C15</f>
        <v>-0.5307922661285071</v>
      </c>
    </row>
    <row r="16" ht="20.05" customHeight="1">
      <c r="B16" s="34">
        <v>2020</v>
      </c>
      <c r="C16" s="17">
        <v>3066.3</v>
      </c>
      <c r="D16" s="33"/>
      <c r="E16" s="18">
        <v>44</v>
      </c>
      <c r="F16" s="18">
        <v>9.199999999999999</v>
      </c>
      <c r="G16" s="16">
        <f>C16/C15-1</f>
        <v>-0.518354460204514</v>
      </c>
      <c r="H16" s="16">
        <f>(E16+F16-C16)/C16</f>
        <v>-0.982650099468415</v>
      </c>
      <c r="I16" s="12">
        <f>AVERAGE(H13:H16)</f>
        <v>-0.954282980628165</v>
      </c>
      <c r="J16" s="12"/>
      <c r="K16" s="12">
        <f>('Cashflow '!D16+'Cashflow '!G16-'Cashflow '!C16)/'Cashflow '!C16</f>
        <v>-1.61099728204056</v>
      </c>
    </row>
    <row r="17" ht="20.05" customHeight="1">
      <c r="B17" s="32"/>
      <c r="C17" s="17">
        <v>2460.8</v>
      </c>
      <c r="D17" s="33"/>
      <c r="E17" s="18">
        <v>53.8</v>
      </c>
      <c r="F17" s="18">
        <v>2.1</v>
      </c>
      <c r="G17" s="16">
        <f>C17/C16-1</f>
        <v>-0.197469262629227</v>
      </c>
      <c r="H17" s="16">
        <f>(E17+F17-C17)/C17</f>
        <v>-0.977283810143043</v>
      </c>
      <c r="I17" s="12">
        <f>AVERAGE(H14:H17)</f>
        <v>-0.9631688418205649</v>
      </c>
      <c r="J17" s="12"/>
      <c r="K17" s="12">
        <f>('Cashflow '!D17+'Cashflow '!G17-'Cashflow '!C17)/'Cashflow '!C17</f>
        <v>-1.44452427383763</v>
      </c>
    </row>
    <row r="18" ht="20.05" customHeight="1">
      <c r="B18" s="32"/>
      <c r="C18" s="17">
        <v>2930.6</v>
      </c>
      <c r="D18" s="18"/>
      <c r="E18" s="18">
        <v>61.3</v>
      </c>
      <c r="F18" s="18">
        <v>4.3</v>
      </c>
      <c r="G18" s="16">
        <f>C18/C17-1</f>
        <v>0.190913524057217</v>
      </c>
      <c r="H18" s="16">
        <f>(E18+F18-C18)/C18</f>
        <v>-0.977615505357265</v>
      </c>
      <c r="I18" s="12">
        <f>AVERAGE(H15:H18)</f>
        <v>-0.970273975484794</v>
      </c>
      <c r="J18" s="12"/>
      <c r="K18" s="12">
        <f>('Cashflow '!D18+'Cashflow '!G18-'Cashflow '!C18)/'Cashflow '!C18</f>
        <v>-0.5825305961310701</v>
      </c>
    </row>
    <row r="19" ht="20.05" customHeight="1">
      <c r="B19" s="32"/>
      <c r="C19" s="17">
        <v>2370</v>
      </c>
      <c r="D19" s="18"/>
      <c r="E19" s="18">
        <v>50.5</v>
      </c>
      <c r="F19" s="18">
        <v>8.1</v>
      </c>
      <c r="G19" s="16">
        <f>C19/C18-1</f>
        <v>-0.191291885620692</v>
      </c>
      <c r="H19" s="16">
        <f>(E19+F19-C19)/C19</f>
        <v>-0.975274261603376</v>
      </c>
      <c r="I19" s="12">
        <f>AVERAGE(H16:H19)</f>
        <v>-0.978205919143025</v>
      </c>
      <c r="J19" s="12"/>
      <c r="K19" s="12">
        <f>('Cashflow '!D19+'Cashflow '!G19-'Cashflow '!C19)/'Cashflow '!C19</f>
        <v>-0.933533312282918</v>
      </c>
    </row>
    <row r="20" ht="20.05" customHeight="1">
      <c r="B20" s="34">
        <v>2021</v>
      </c>
      <c r="C20" s="17">
        <v>2118.2</v>
      </c>
      <c r="D20" s="18"/>
      <c r="E20" s="18">
        <v>47.3</v>
      </c>
      <c r="F20" s="18">
        <v>5.8</v>
      </c>
      <c r="G20" s="16">
        <f>C20/C19-1</f>
        <v>-0.106244725738397</v>
      </c>
      <c r="H20" s="16">
        <f>(E20+F20-C20)/C20</f>
        <v>-0.974931545651969</v>
      </c>
      <c r="I20" s="12">
        <f>AVERAGE(H17:H20)</f>
        <v>-0.976276280688913</v>
      </c>
      <c r="J20" s="12"/>
      <c r="K20" s="12">
        <f>('Cashflow '!D20+'Cashflow '!G20-'Cashflow '!C20)/'Cashflow '!C20</f>
        <v>-1.71825479349499</v>
      </c>
    </row>
    <row r="21" ht="20.05" customHeight="1">
      <c r="B21" s="32"/>
      <c r="C21" s="17">
        <f>4444.7-C20</f>
        <v>2326.5</v>
      </c>
      <c r="D21" s="18"/>
      <c r="E21" s="18">
        <f>8+86.1-E20</f>
        <v>46.8</v>
      </c>
      <c r="F21" s="18">
        <f>8.1-F20</f>
        <v>2.3</v>
      </c>
      <c r="G21" s="16">
        <f>C21/C20-1</f>
        <v>0.0983382116891701</v>
      </c>
      <c r="H21" s="16">
        <f>(E21+F21-C21)/C21</f>
        <v>-0.978895336342145</v>
      </c>
      <c r="I21" s="12">
        <f>AVERAGE(H18:H21)</f>
        <v>-0.976679162238689</v>
      </c>
      <c r="J21" s="12"/>
      <c r="K21" s="12">
        <f>('Cashflow '!D21+'Cashflow '!G21-'Cashflow '!C21)/'Cashflow '!C21</f>
        <v>-1.49613832278639</v>
      </c>
    </row>
    <row r="22" ht="20.05" customHeight="1">
      <c r="B22" s="32"/>
      <c r="C22" s="17">
        <f>7350.8-SUM(C20:C21)</f>
        <v>2906.1</v>
      </c>
      <c r="D22" s="14">
        <v>2186.91</v>
      </c>
      <c r="E22" s="18">
        <f>127+15.3-SUM(E20:E21)</f>
        <v>48.2</v>
      </c>
      <c r="F22" s="18">
        <f>23-SUM(F20:F21)</f>
        <v>14.9</v>
      </c>
      <c r="G22" s="16">
        <f>C22/C21-1</f>
        <v>0.249129593810445</v>
      </c>
      <c r="H22" s="16">
        <f>(E22+F22-C22)/C22</f>
        <v>-0.978287051374695</v>
      </c>
      <c r="I22" s="12">
        <f>AVERAGE(H19:H22)</f>
        <v>-0.976847048743046</v>
      </c>
      <c r="J22" s="12"/>
      <c r="K22" s="12">
        <f>('Cashflow '!D22+'Cashflow '!G22-'Cashflow '!C22)/'Cashflow '!C22</f>
        <v>-0.878141809290954</v>
      </c>
    </row>
    <row r="23" ht="20.05" customHeight="1">
      <c r="B23" s="32"/>
      <c r="C23" s="17">
        <f>11530.5-SUM(C20:C22)</f>
        <v>4179.7</v>
      </c>
      <c r="D23" s="14">
        <v>3923.235</v>
      </c>
      <c r="E23" s="18">
        <f>37+168.4-SUM(E20:E22)</f>
        <v>63.1</v>
      </c>
      <c r="F23" s="18">
        <f>86.5-SUM(F20:F22)</f>
        <v>63.5</v>
      </c>
      <c r="G23" s="16">
        <f>C23/C22-1</f>
        <v>0.438250576373834</v>
      </c>
      <c r="H23" s="16">
        <f>(E23+F23-C23)/C23</f>
        <v>-0.969710744790296</v>
      </c>
      <c r="I23" s="12">
        <f>AVERAGE(H20:H23)</f>
        <v>-0.975456169539776</v>
      </c>
      <c r="J23" s="12">
        <f>I23</f>
        <v>-0.975456169539776</v>
      </c>
      <c r="K23" s="12">
        <f>('Cashflow '!D23+'Cashflow '!G23-'Cashflow '!C23)/'Cashflow '!C23</f>
        <v>-0.58836254147361</v>
      </c>
    </row>
    <row r="24" ht="20.05" customHeight="1">
      <c r="B24" s="34">
        <v>2022</v>
      </c>
      <c r="C24" s="17"/>
      <c r="D24" s="14">
        <f>'Model'!C6</f>
        <v>3887.121</v>
      </c>
      <c r="E24" s="18"/>
      <c r="F24" s="18"/>
      <c r="G24" s="16"/>
      <c r="H24" s="22"/>
      <c r="I24" s="12"/>
      <c r="J24" s="12">
        <f>'Model'!C7</f>
        <v>-0.969710744790296</v>
      </c>
      <c r="K24" s="12"/>
    </row>
    <row r="25" ht="20.05" customHeight="1">
      <c r="B25" s="32"/>
      <c r="C25" s="17"/>
      <c r="D25" s="18">
        <f>'Model'!D6</f>
        <v>4159.21947</v>
      </c>
      <c r="E25" s="18"/>
      <c r="F25" s="18"/>
      <c r="G25" s="16"/>
      <c r="H25" s="12"/>
      <c r="I25" s="12"/>
      <c r="J25" s="12"/>
      <c r="K25" s="12"/>
    </row>
    <row r="26" ht="20.05" customHeight="1">
      <c r="B26" s="32"/>
      <c r="C26" s="17"/>
      <c r="D26" s="18">
        <f>'Model'!E6</f>
        <v>4575.141417</v>
      </c>
      <c r="E26" s="18"/>
      <c r="F26" s="18"/>
      <c r="G26" s="16"/>
      <c r="H26" s="12"/>
      <c r="I26" s="12"/>
      <c r="J26" s="12"/>
      <c r="K26" s="12"/>
    </row>
    <row r="27" ht="20.05" customHeight="1">
      <c r="B27" s="32"/>
      <c r="C27" s="17"/>
      <c r="D27" s="18">
        <f>'Model'!F6</f>
        <v>5032.6555587</v>
      </c>
      <c r="E27" s="18"/>
      <c r="F27" s="18"/>
      <c r="G27" s="16"/>
      <c r="H27" s="12"/>
      <c r="I27" s="12"/>
      <c r="J27" s="12"/>
      <c r="K27" s="12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2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64844" style="35" customWidth="1"/>
    <col min="2" max="2" width="7.54688" style="35" customWidth="1"/>
    <col min="3" max="15" width="9.5" style="35" customWidth="1"/>
    <col min="16" max="16384" width="16.3516" style="35" customWidth="1"/>
  </cols>
  <sheetData>
    <row r="1" ht="36.4" customHeight="1"/>
    <row r="2" ht="27.65" customHeight="1">
      <c r="B2" t="s" s="2">
        <v>34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5">
        <v>1</v>
      </c>
      <c r="C3" t="s" s="5">
        <v>47</v>
      </c>
      <c r="D3" t="s" s="5">
        <v>48</v>
      </c>
      <c r="E3" t="s" s="5">
        <v>49</v>
      </c>
      <c r="F3" t="s" s="5">
        <v>50</v>
      </c>
      <c r="G3" t="s" s="5">
        <v>51</v>
      </c>
      <c r="H3" t="s" s="5">
        <v>12</v>
      </c>
      <c r="I3" t="s" s="5">
        <v>26</v>
      </c>
      <c r="J3" t="s" s="5">
        <v>11</v>
      </c>
      <c r="K3" t="s" s="5">
        <v>52</v>
      </c>
      <c r="L3" t="s" s="5">
        <v>53</v>
      </c>
      <c r="M3" t="s" s="5">
        <v>36</v>
      </c>
      <c r="N3" t="s" s="5">
        <v>30</v>
      </c>
      <c r="O3" t="s" s="5">
        <v>36</v>
      </c>
    </row>
    <row r="4" ht="20.25" customHeight="1">
      <c r="B4" s="27">
        <v>2017</v>
      </c>
      <c r="C4" s="28">
        <v>1828.3</v>
      </c>
      <c r="D4" s="30">
        <v>-997</v>
      </c>
      <c r="E4" s="30">
        <v>-7.9</v>
      </c>
      <c r="F4" s="30"/>
      <c r="G4" s="30">
        <v>0</v>
      </c>
      <c r="H4" s="30"/>
      <c r="I4" s="30"/>
      <c r="J4" s="30">
        <v>-114.1</v>
      </c>
      <c r="K4" s="30">
        <f>D4+E4+G4</f>
        <v>-1004.9</v>
      </c>
      <c r="L4" s="36"/>
      <c r="M4" s="30"/>
      <c r="N4" s="30">
        <f>-(J4-G4)</f>
        <v>114.1</v>
      </c>
      <c r="O4" s="30"/>
    </row>
    <row r="5" ht="20.05" customHeight="1">
      <c r="B5" s="32"/>
      <c r="C5" s="17">
        <v>2271</v>
      </c>
      <c r="D5" s="18">
        <v>-1215.9</v>
      </c>
      <c r="E5" s="18">
        <v>-16.1</v>
      </c>
      <c r="F5" s="18"/>
      <c r="G5" s="18">
        <v>0</v>
      </c>
      <c r="H5" s="18"/>
      <c r="I5" s="18"/>
      <c r="J5" s="18">
        <v>3326.6</v>
      </c>
      <c r="K5" s="18">
        <f>D5+E5+G5</f>
        <v>-1232</v>
      </c>
      <c r="L5" s="21"/>
      <c r="M5" s="18"/>
      <c r="N5" s="18">
        <f>-(J5-G5)+N4</f>
        <v>-3212.5</v>
      </c>
      <c r="O5" s="18"/>
    </row>
    <row r="6" ht="20.05" customHeight="1">
      <c r="B6" s="32"/>
      <c r="C6" s="17">
        <v>2423</v>
      </c>
      <c r="D6" s="18">
        <v>-807.2</v>
      </c>
      <c r="E6" s="18">
        <v>-5</v>
      </c>
      <c r="F6" s="18"/>
      <c r="G6" s="18">
        <v>0</v>
      </c>
      <c r="H6" s="18"/>
      <c r="I6" s="18"/>
      <c r="J6" s="18">
        <v>272.9</v>
      </c>
      <c r="K6" s="18">
        <f>D6+E6+G6</f>
        <v>-812.2</v>
      </c>
      <c r="L6" s="21"/>
      <c r="M6" s="18"/>
      <c r="N6" s="18">
        <f>-(J6-G6)+N5</f>
        <v>-3485.4</v>
      </c>
      <c r="O6" s="18"/>
    </row>
    <row r="7" ht="20.05" customHeight="1">
      <c r="B7" s="32"/>
      <c r="C7" s="17">
        <v>3961.9</v>
      </c>
      <c r="D7" s="18">
        <v>-188.3</v>
      </c>
      <c r="E7" s="18">
        <v>-75.59999999999999</v>
      </c>
      <c r="F7" s="18"/>
      <c r="G7" s="18">
        <v>-184.6</v>
      </c>
      <c r="H7" s="18"/>
      <c r="I7" s="18"/>
      <c r="J7" s="18">
        <v>593.8</v>
      </c>
      <c r="K7" s="18">
        <f>D7+E7+G7</f>
        <v>-448.5</v>
      </c>
      <c r="L7" s="21"/>
      <c r="M7" s="18"/>
      <c r="N7" s="18">
        <f>-(J7-G7)+N6</f>
        <v>-4263.8</v>
      </c>
      <c r="O7" s="18"/>
    </row>
    <row r="8" ht="20.05" customHeight="1">
      <c r="B8" s="34">
        <v>2018</v>
      </c>
      <c r="C8" s="17">
        <v>5617.9</v>
      </c>
      <c r="D8" s="18">
        <v>2013.8</v>
      </c>
      <c r="E8" s="18">
        <v>-60.2</v>
      </c>
      <c r="F8" s="18"/>
      <c r="G8" s="18">
        <v>0</v>
      </c>
      <c r="H8" s="18"/>
      <c r="I8" s="18"/>
      <c r="J8" s="18">
        <v>-1780.9</v>
      </c>
      <c r="K8" s="18">
        <f>D8+E8+G8</f>
        <v>1953.6</v>
      </c>
      <c r="L8" s="18">
        <f>AVERAGE(K5:K8)</f>
        <v>-134.775</v>
      </c>
      <c r="M8" s="18"/>
      <c r="N8" s="18">
        <f>-(J8-G8)+N7</f>
        <v>-2482.9</v>
      </c>
      <c r="O8" s="18"/>
    </row>
    <row r="9" ht="20.05" customHeight="1">
      <c r="B9" s="32"/>
      <c r="C9" s="17">
        <v>1205.7</v>
      </c>
      <c r="D9" s="18">
        <v>-2344.6</v>
      </c>
      <c r="E9" s="18">
        <v>-76.3</v>
      </c>
      <c r="F9" s="18"/>
      <c r="G9" s="18">
        <v>0</v>
      </c>
      <c r="H9" s="18"/>
      <c r="I9" s="18"/>
      <c r="J9" s="18">
        <v>-276.1</v>
      </c>
      <c r="K9" s="18">
        <f>D9+E9+G9</f>
        <v>-2420.9</v>
      </c>
      <c r="L9" s="18">
        <f>AVERAGE(K6:K9)</f>
        <v>-432</v>
      </c>
      <c r="M9" s="18"/>
      <c r="N9" s="18">
        <f>-(J9-G9)+N8</f>
        <v>-2206.8</v>
      </c>
      <c r="O9" s="18"/>
    </row>
    <row r="10" ht="20.05" customHeight="1">
      <c r="B10" s="32"/>
      <c r="C10" s="17">
        <v>3062</v>
      </c>
      <c r="D10" s="18">
        <v>-1766.3</v>
      </c>
      <c r="E10" s="18">
        <v>-27.4</v>
      </c>
      <c r="F10" s="18"/>
      <c r="G10" s="18">
        <v>0</v>
      </c>
      <c r="H10" s="18"/>
      <c r="I10" s="18"/>
      <c r="J10" s="18">
        <v>1690.3</v>
      </c>
      <c r="K10" s="18">
        <f>D10+E10+G10</f>
        <v>-1793.7</v>
      </c>
      <c r="L10" s="18">
        <f>AVERAGE(K7:K10)</f>
        <v>-677.375</v>
      </c>
      <c r="M10" s="18"/>
      <c r="N10" s="18">
        <f>-(J10-G10)+N9</f>
        <v>-3897.1</v>
      </c>
      <c r="O10" s="18"/>
    </row>
    <row r="11" ht="20.05" customHeight="1">
      <c r="B11" s="32"/>
      <c r="C11" s="17">
        <v>6331.2</v>
      </c>
      <c r="D11" s="18">
        <v>2950.7</v>
      </c>
      <c r="E11" s="18">
        <v>-1023.1</v>
      </c>
      <c r="F11" s="18"/>
      <c r="G11" s="18">
        <v>-530.8</v>
      </c>
      <c r="H11" s="18"/>
      <c r="I11" s="18"/>
      <c r="J11" s="18">
        <v>-168</v>
      </c>
      <c r="K11" s="18">
        <f>D11+E11+G11</f>
        <v>1396.8</v>
      </c>
      <c r="L11" s="18">
        <f>AVERAGE(K8:K11)</f>
        <v>-216.05</v>
      </c>
      <c r="M11" s="18"/>
      <c r="N11" s="18">
        <f>-(J11-G11)+N10</f>
        <v>-4259.9</v>
      </c>
      <c r="O11" s="18"/>
    </row>
    <row r="12" ht="20.05" customHeight="1">
      <c r="B12" s="34">
        <v>2019</v>
      </c>
      <c r="C12" s="17">
        <v>1962.5</v>
      </c>
      <c r="D12" s="18">
        <v>-821.2</v>
      </c>
      <c r="E12" s="18">
        <v>-156.3</v>
      </c>
      <c r="F12" s="18"/>
      <c r="G12" s="18">
        <v>-154.1</v>
      </c>
      <c r="H12" s="18"/>
      <c r="I12" s="18"/>
      <c r="J12" s="18">
        <v>-287.4</v>
      </c>
      <c r="K12" s="18">
        <f>D12+E12+G12</f>
        <v>-1131.6</v>
      </c>
      <c r="L12" s="18">
        <f>AVERAGE(K9:K12)</f>
        <v>-987.35</v>
      </c>
      <c r="M12" s="18"/>
      <c r="N12" s="18">
        <f>-(J12-G12)+N11</f>
        <v>-4126.6</v>
      </c>
      <c r="O12" s="18"/>
    </row>
    <row r="13" ht="20.05" customHeight="1">
      <c r="B13" s="32"/>
      <c r="C13" s="17">
        <v>3148.9</v>
      </c>
      <c r="D13" s="18">
        <v>-997.6</v>
      </c>
      <c r="E13" s="18">
        <v>-637.2</v>
      </c>
      <c r="F13" s="18"/>
      <c r="G13" s="18">
        <v>-180</v>
      </c>
      <c r="H13" s="18"/>
      <c r="I13" s="18"/>
      <c r="J13" s="18">
        <v>1870.9</v>
      </c>
      <c r="K13" s="18">
        <f>D13+E13+G13</f>
        <v>-1814.8</v>
      </c>
      <c r="L13" s="18">
        <f>AVERAGE(K10:K13)</f>
        <v>-835.825</v>
      </c>
      <c r="M13" s="18"/>
      <c r="N13" s="18">
        <f>-(J13-G13)+N12</f>
        <v>-6177.5</v>
      </c>
      <c r="O13" s="18"/>
    </row>
    <row r="14" ht="20.05" customHeight="1">
      <c r="B14" s="32"/>
      <c r="C14" s="17">
        <v>2201.2</v>
      </c>
      <c r="D14" s="18">
        <v>-807.8</v>
      </c>
      <c r="E14" s="18">
        <v>-261.5</v>
      </c>
      <c r="F14" s="18"/>
      <c r="G14" s="18">
        <v>-212.6</v>
      </c>
      <c r="H14" s="18"/>
      <c r="I14" s="18"/>
      <c r="J14" s="18">
        <v>293.7</v>
      </c>
      <c r="K14" s="18">
        <f>D14+E14+G14</f>
        <v>-1281.9</v>
      </c>
      <c r="L14" s="18">
        <f>AVERAGE(K11:K14)</f>
        <v>-707.875</v>
      </c>
      <c r="M14" s="18"/>
      <c r="N14" s="18">
        <f>-(J14-G14)+N13</f>
        <v>-6683.8</v>
      </c>
      <c r="O14" s="18"/>
    </row>
    <row r="15" ht="20.05" customHeight="1">
      <c r="B15" s="32"/>
      <c r="C15" s="17">
        <v>6144.4</v>
      </c>
      <c r="D15" s="18">
        <v>3165.8</v>
      </c>
      <c r="E15" s="18">
        <v>-502.9</v>
      </c>
      <c r="F15" s="18"/>
      <c r="G15" s="18">
        <v>-282.8</v>
      </c>
      <c r="H15" s="18"/>
      <c r="I15" s="18"/>
      <c r="J15" s="18">
        <v>-866.5</v>
      </c>
      <c r="K15" s="18">
        <f>D15+E15+G15</f>
        <v>2380.1</v>
      </c>
      <c r="L15" s="18">
        <f>AVERAGE(K12:K15)</f>
        <v>-462.05</v>
      </c>
      <c r="M15" s="18"/>
      <c r="N15" s="18">
        <f>-(J15-G15)+N14</f>
        <v>-6100.1</v>
      </c>
      <c r="O15" s="18"/>
    </row>
    <row r="16" ht="20.05" customHeight="1">
      <c r="B16" s="34">
        <v>2020</v>
      </c>
      <c r="C16" s="17">
        <v>2391.5</v>
      </c>
      <c r="D16" s="18">
        <v>-1254.5</v>
      </c>
      <c r="E16" s="18">
        <v>-57</v>
      </c>
      <c r="F16" s="18">
        <v>0</v>
      </c>
      <c r="G16" s="18">
        <v>-206.7</v>
      </c>
      <c r="H16" s="18">
        <f>415.9-983.6</f>
        <v>-567.7</v>
      </c>
      <c r="I16" s="18">
        <v>0</v>
      </c>
      <c r="J16" s="18">
        <v>-774.4</v>
      </c>
      <c r="K16" s="18">
        <f>D16+E16+G16</f>
        <v>-1518.2</v>
      </c>
      <c r="L16" s="18">
        <f>AVERAGE(K13:K16)</f>
        <v>-558.7</v>
      </c>
      <c r="M16" s="18"/>
      <c r="N16" s="18">
        <f>-(J16-G16)+N15</f>
        <v>-5532.4</v>
      </c>
      <c r="O16" s="18"/>
    </row>
    <row r="17" ht="20.05" customHeight="1">
      <c r="B17" s="32"/>
      <c r="C17" s="17">
        <v>974.3</v>
      </c>
      <c r="D17" s="18">
        <v>-246.7</v>
      </c>
      <c r="E17" s="18">
        <v>-253.8</v>
      </c>
      <c r="F17" s="18">
        <v>0</v>
      </c>
      <c r="G17" s="18">
        <v>-186.4</v>
      </c>
      <c r="H17" s="18">
        <f>1169.7-1286-H16</f>
        <v>451.4</v>
      </c>
      <c r="I17" s="18">
        <v>0</v>
      </c>
      <c r="J17" s="18">
        <v>217</v>
      </c>
      <c r="K17" s="18">
        <f>D17+E17+G17</f>
        <v>-686.9</v>
      </c>
      <c r="L17" s="18">
        <f>AVERAGE(K14:K17)</f>
        <v>-276.725</v>
      </c>
      <c r="M17" s="18"/>
      <c r="N17" s="18">
        <f>-(J17-G17)+N16</f>
        <v>-5935.8</v>
      </c>
      <c r="O17" s="18"/>
    </row>
    <row r="18" ht="20.05" customHeight="1">
      <c r="B18" s="32"/>
      <c r="C18" s="17">
        <v>5066</v>
      </c>
      <c r="D18" s="18">
        <v>2356.8</v>
      </c>
      <c r="E18" s="18">
        <v>-80.40000000000001</v>
      </c>
      <c r="F18" s="18">
        <v>0</v>
      </c>
      <c r="G18" s="18">
        <v>-241.9</v>
      </c>
      <c r="H18" s="18">
        <f>1621.3-2593.3-SUM(H16:H17)</f>
        <v>-855.7</v>
      </c>
      <c r="I18" s="18">
        <f>-66.4-SUM(I16:I17)</f>
        <v>-66.40000000000001</v>
      </c>
      <c r="J18" s="18">
        <v>-1116</v>
      </c>
      <c r="K18" s="18">
        <f>D18+E18+G18</f>
        <v>2034.5</v>
      </c>
      <c r="L18" s="18">
        <f>AVERAGE(K15:K18)</f>
        <v>552.375</v>
      </c>
      <c r="M18" s="18"/>
      <c r="N18" s="18">
        <f>-(J18-G18)+N17</f>
        <v>-5061.7</v>
      </c>
      <c r="O18" s="18"/>
    </row>
    <row r="19" ht="20.05" customHeight="1">
      <c r="B19" s="32"/>
      <c r="C19" s="17">
        <v>4433.8</v>
      </c>
      <c r="D19" s="18">
        <v>522.5</v>
      </c>
      <c r="E19" s="18">
        <v>-127.3</v>
      </c>
      <c r="F19" s="18">
        <f>-46.7-SUM(F16:F18)</f>
        <v>-46.7</v>
      </c>
      <c r="G19" s="18">
        <v>-227.8</v>
      </c>
      <c r="H19" s="18">
        <f>3234.2-4009.2-SUM(H16:H18)</f>
        <v>197</v>
      </c>
      <c r="I19" s="18">
        <f>-3.3-66.4-SUM(I16:I18)</f>
        <v>-3.3</v>
      </c>
      <c r="J19" s="18">
        <v>-77.5</v>
      </c>
      <c r="K19" s="18">
        <f>D19+E19+G19</f>
        <v>167.4</v>
      </c>
      <c r="L19" s="18">
        <f>AVERAGE(K16:K19)</f>
        <v>-0.8</v>
      </c>
      <c r="M19" s="18"/>
      <c r="N19" s="18">
        <f>-(J19-G19)+N18</f>
        <v>-5212</v>
      </c>
      <c r="O19" s="18"/>
    </row>
    <row r="20" ht="20.05" customHeight="1">
      <c r="B20" s="34">
        <v>2021</v>
      </c>
      <c r="C20" s="17">
        <v>2404.3</v>
      </c>
      <c r="D20" s="18">
        <v>-1504.1</v>
      </c>
      <c r="E20" s="18">
        <v>-14.6</v>
      </c>
      <c r="F20" s="18">
        <v>0</v>
      </c>
      <c r="G20" s="18">
        <v>-222.8</v>
      </c>
      <c r="H20" s="21">
        <f>1561.542-1397.393</f>
        <v>164.149</v>
      </c>
      <c r="I20" s="18">
        <f>0</f>
        <v>0</v>
      </c>
      <c r="J20" s="18">
        <v>-58.6</v>
      </c>
      <c r="K20" s="18">
        <f>D20+E20+G20</f>
        <v>-1741.5</v>
      </c>
      <c r="L20" s="18">
        <f>AVERAGE(K17:K20)</f>
        <v>-56.625</v>
      </c>
      <c r="M20" s="18"/>
      <c r="N20" s="18">
        <f>-(H20+I20)+N19</f>
        <v>-5376.149</v>
      </c>
      <c r="O20" s="18"/>
    </row>
    <row r="21" ht="20.05" customHeight="1">
      <c r="B21" s="32"/>
      <c r="C21" s="17">
        <f>4411.2-C20</f>
        <v>2006.9</v>
      </c>
      <c r="D21" s="18">
        <f>-2279.3-D20</f>
        <v>-775.2</v>
      </c>
      <c r="E21" s="18">
        <f>-156.2-E20</f>
        <v>-141.6</v>
      </c>
      <c r="F21" s="18">
        <v>0</v>
      </c>
      <c r="G21" s="18">
        <f>-443.3-G20</f>
        <v>-220.5</v>
      </c>
      <c r="H21" s="18">
        <f>2666.797-1480.714-H20</f>
        <v>1021.934</v>
      </c>
      <c r="I21" s="18">
        <v>0</v>
      </c>
      <c r="J21" s="18">
        <f>742.8-J20</f>
        <v>801.4</v>
      </c>
      <c r="K21" s="18">
        <f>D21+E21+G21</f>
        <v>-1137.3</v>
      </c>
      <c r="L21" s="18">
        <f>AVERAGE(K18:K21)</f>
        <v>-169.225</v>
      </c>
      <c r="M21" s="18"/>
      <c r="N21" s="18">
        <f>-(H21+I21)+N20</f>
        <v>-6398.083</v>
      </c>
      <c r="O21" s="18"/>
    </row>
    <row r="22" ht="20.05" customHeight="1">
      <c r="B22" s="32"/>
      <c r="C22" s="17">
        <f>8501.2-SUM(C20:C21)</f>
        <v>4090</v>
      </c>
      <c r="D22" s="18">
        <f>-1533-SUM(D20:D21)</f>
        <v>746.3</v>
      </c>
      <c r="E22" s="18">
        <f>-119.3-SUM(E20:E21)</f>
        <v>36.9</v>
      </c>
      <c r="F22" s="18">
        <v>0</v>
      </c>
      <c r="G22" s="18">
        <f>-691.2-SUM(G20:G21)</f>
        <v>-247.9</v>
      </c>
      <c r="H22" s="18">
        <f>4217.208-2612.086-H21-H20</f>
        <v>419.039</v>
      </c>
      <c r="I22" s="18">
        <v>0</v>
      </c>
      <c r="J22" s="18">
        <f>913.882-SUM(J20:J21)</f>
        <v>171.082</v>
      </c>
      <c r="K22" s="18">
        <f>D22+E22+G22</f>
        <v>535.3</v>
      </c>
      <c r="L22" s="18">
        <f>AVERAGE(K19:K22)</f>
        <v>-544.025</v>
      </c>
      <c r="M22" s="18"/>
      <c r="N22" s="18">
        <f>-(H22+I22)+N21</f>
        <v>-6817.122</v>
      </c>
      <c r="O22" s="18"/>
    </row>
    <row r="23" ht="20.05" customHeight="1">
      <c r="B23" s="32"/>
      <c r="C23" s="17">
        <f>15342.9-SUM(C20:C22)</f>
        <v>6841.7</v>
      </c>
      <c r="D23" s="18">
        <f>1516.2-SUM(D20:D22)</f>
        <v>3049.2</v>
      </c>
      <c r="E23" s="18">
        <f>-529.3-SUM(E20:E22)</f>
        <v>-410</v>
      </c>
      <c r="F23" s="18">
        <f>-43.1-SUM(F20:F22)</f>
        <v>-43.1</v>
      </c>
      <c r="G23" s="18">
        <f>-924.1-SUM(G20:G22)</f>
        <v>-232.9</v>
      </c>
      <c r="H23" s="18">
        <f>4214.7-3445.8-SUM(H20:H22)</f>
        <v>-836.222</v>
      </c>
      <c r="I23" s="18">
        <f>-0.03-SUM(I20:I22)</f>
        <v>-0.03</v>
      </c>
      <c r="J23" s="18">
        <f>-198.2-SUM(J20:J22)</f>
        <v>-1112.082</v>
      </c>
      <c r="K23" s="18">
        <f>D23+E23+G23</f>
        <v>2406.3</v>
      </c>
      <c r="L23" s="18">
        <f>AVERAGE(K20:K23)</f>
        <v>15.7</v>
      </c>
      <c r="M23" s="18">
        <f>L23</f>
        <v>15.7</v>
      </c>
      <c r="N23" s="18">
        <f>-(H23+I23)+N22</f>
        <v>-5980.87</v>
      </c>
      <c r="O23" s="18">
        <f>N23</f>
        <v>-5980.87</v>
      </c>
    </row>
    <row r="24" ht="20.05" customHeight="1">
      <c r="B24" s="34">
        <v>2022</v>
      </c>
      <c r="C24" s="37"/>
      <c r="D24" s="18"/>
      <c r="E24" s="22"/>
      <c r="F24" s="18"/>
      <c r="G24" s="18"/>
      <c r="H24" s="18"/>
      <c r="I24" s="18"/>
      <c r="J24" s="18"/>
      <c r="K24" s="18"/>
      <c r="L24" s="22"/>
      <c r="M24" s="18">
        <f>SUM('Model'!F9:F11)</f>
        <v>127.0603886</v>
      </c>
      <c r="N24" s="22"/>
      <c r="O24" s="18">
        <f>'Model'!F33</f>
        <v>-5504.5393254</v>
      </c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0.5547" style="38" customWidth="1"/>
    <col min="2" max="2" width="8.58594" style="38" customWidth="1"/>
    <col min="3" max="11" width="9.39062" style="38" customWidth="1"/>
    <col min="12" max="16384" width="16.3516" style="38" customWidth="1"/>
  </cols>
  <sheetData>
    <row r="1" ht="11.8" customHeight="1"/>
    <row r="2" ht="27.65" customHeight="1">
      <c r="B2" t="s" s="2">
        <v>54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55</v>
      </c>
      <c r="D3" t="s" s="5">
        <v>56</v>
      </c>
      <c r="E3" t="s" s="5">
        <v>23</v>
      </c>
      <c r="F3" t="s" s="5">
        <v>24</v>
      </c>
      <c r="G3" t="s" s="5">
        <v>57</v>
      </c>
      <c r="H3" t="s" s="5">
        <v>26</v>
      </c>
      <c r="I3" t="s" s="5">
        <v>27</v>
      </c>
      <c r="J3" t="s" s="5">
        <v>28</v>
      </c>
      <c r="K3" t="s" s="5">
        <v>36</v>
      </c>
    </row>
    <row r="4" ht="20.25" customHeight="1">
      <c r="B4" s="27">
        <v>2018</v>
      </c>
      <c r="C4" s="28">
        <v>4304</v>
      </c>
      <c r="D4" s="30">
        <v>27254</v>
      </c>
      <c r="E4" s="30">
        <f>D4-C4</f>
        <v>22950</v>
      </c>
      <c r="F4" s="36">
        <f>40+362</f>
        <v>402</v>
      </c>
      <c r="G4" s="30">
        <v>21311</v>
      </c>
      <c r="H4" s="30">
        <v>5943</v>
      </c>
      <c r="I4" s="30">
        <f>G4+H4-C4-E4</f>
        <v>0</v>
      </c>
      <c r="J4" s="30">
        <f>C4-G4</f>
        <v>-17007</v>
      </c>
      <c r="K4" s="39"/>
    </row>
    <row r="5" ht="20.05" customHeight="1">
      <c r="B5" s="32"/>
      <c r="C5" s="17">
        <v>1607</v>
      </c>
      <c r="D5" s="18">
        <v>26504</v>
      </c>
      <c r="E5" s="18">
        <f>D5-C5</f>
        <v>24897</v>
      </c>
      <c r="F5" s="21">
        <f>406+42</f>
        <v>448</v>
      </c>
      <c r="G5" s="18">
        <v>20555</v>
      </c>
      <c r="H5" s="18">
        <v>5949</v>
      </c>
      <c r="I5" s="18">
        <f>G5+H5-C5-E5</f>
        <v>0</v>
      </c>
      <c r="J5" s="18">
        <f>C5-G5</f>
        <v>-18948</v>
      </c>
      <c r="K5" s="24"/>
    </row>
    <row r="6" ht="20.05" customHeight="1">
      <c r="B6" s="32"/>
      <c r="C6" s="17">
        <v>1503</v>
      </c>
      <c r="D6" s="18">
        <v>28340</v>
      </c>
      <c r="E6" s="18">
        <f>D6-C6</f>
        <v>26837</v>
      </c>
      <c r="F6" s="21">
        <f>45+455</f>
        <v>500</v>
      </c>
      <c r="G6" s="18">
        <v>22237</v>
      </c>
      <c r="H6" s="18">
        <v>6103</v>
      </c>
      <c r="I6" s="18">
        <f>G6+H6-C6-E6</f>
        <v>0</v>
      </c>
      <c r="J6" s="18">
        <f>C6-G6</f>
        <v>-20734</v>
      </c>
      <c r="K6" s="24"/>
    </row>
    <row r="7" ht="20.05" customHeight="1">
      <c r="B7" s="32"/>
      <c r="C7" s="17">
        <v>3263</v>
      </c>
      <c r="D7" s="18">
        <v>30092</v>
      </c>
      <c r="E7" s="18">
        <f>D7-C7</f>
        <v>26829</v>
      </c>
      <c r="F7" s="21">
        <v>504</v>
      </c>
      <c r="G7" s="18">
        <v>23807</v>
      </c>
      <c r="H7" s="18">
        <v>6285</v>
      </c>
      <c r="I7" s="18">
        <f>G7+H7-C7-E7</f>
        <v>0</v>
      </c>
      <c r="J7" s="18">
        <f>C7-G7</f>
        <v>-20544</v>
      </c>
      <c r="K7" s="24"/>
    </row>
    <row r="8" ht="20.05" customHeight="1">
      <c r="B8" s="34">
        <v>2019</v>
      </c>
      <c r="C8" s="17">
        <v>1998</v>
      </c>
      <c r="D8" s="18">
        <v>29826</v>
      </c>
      <c r="E8" s="18">
        <f>D8-C8</f>
        <v>27828</v>
      </c>
      <c r="F8" s="21">
        <v>547</v>
      </c>
      <c r="G8" s="18">
        <v>23465</v>
      </c>
      <c r="H8" s="18">
        <v>6361</v>
      </c>
      <c r="I8" s="18">
        <f>G8+H8-C8-E8</f>
        <v>0</v>
      </c>
      <c r="J8" s="18">
        <f>C8-G8</f>
        <v>-21467</v>
      </c>
      <c r="K8" s="24"/>
    </row>
    <row r="9" ht="20.05" customHeight="1">
      <c r="B9" s="32"/>
      <c r="C9" s="17">
        <v>2234</v>
      </c>
      <c r="D9" s="18">
        <v>31397</v>
      </c>
      <c r="E9" s="18">
        <f>D9-C9</f>
        <v>29163</v>
      </c>
      <c r="F9" s="21">
        <f>592</f>
        <v>592</v>
      </c>
      <c r="G9" s="18">
        <v>25013</v>
      </c>
      <c r="H9" s="18">
        <v>6384</v>
      </c>
      <c r="I9" s="18">
        <f>G9+H9-C9-E9</f>
        <v>0</v>
      </c>
      <c r="J9" s="18">
        <f>C9-G9</f>
        <v>-22779</v>
      </c>
      <c r="K9" s="24"/>
    </row>
    <row r="10" ht="20.05" customHeight="1">
      <c r="B10" s="32"/>
      <c r="C10" s="17">
        <v>1459</v>
      </c>
      <c r="D10" s="18">
        <v>32669</v>
      </c>
      <c r="E10" s="18">
        <f>D10-C10</f>
        <v>31210</v>
      </c>
      <c r="F10" s="18">
        <v>610</v>
      </c>
      <c r="G10" s="18">
        <v>26149</v>
      </c>
      <c r="H10" s="18">
        <v>6520</v>
      </c>
      <c r="I10" s="18">
        <f>G10+H10-C10-E10</f>
        <v>0</v>
      </c>
      <c r="J10" s="18">
        <f>C10-G10</f>
        <v>-24690</v>
      </c>
      <c r="K10" s="40"/>
    </row>
    <row r="11" ht="20.05" customHeight="1">
      <c r="B11" s="32"/>
      <c r="C11" s="17">
        <v>3255</v>
      </c>
      <c r="D11" s="18">
        <v>36516</v>
      </c>
      <c r="E11" s="18">
        <f>D11-C11</f>
        <v>33261</v>
      </c>
      <c r="F11" s="21">
        <v>650</v>
      </c>
      <c r="G11" s="18">
        <v>29682</v>
      </c>
      <c r="H11" s="18">
        <v>6834</v>
      </c>
      <c r="I11" s="18">
        <f>G11+H11-C11-E11</f>
        <v>0</v>
      </c>
      <c r="J11" s="18">
        <f>C11-G11</f>
        <v>-26427</v>
      </c>
      <c r="K11" s="40"/>
    </row>
    <row r="12" ht="20.05" customHeight="1">
      <c r="B12" s="34">
        <v>2020</v>
      </c>
      <c r="C12" s="17">
        <v>1175</v>
      </c>
      <c r="D12" s="18">
        <v>36578</v>
      </c>
      <c r="E12" s="18">
        <f>D12-C12</f>
        <v>35403</v>
      </c>
      <c r="F12" s="18">
        <f>694</f>
        <v>694</v>
      </c>
      <c r="G12" s="18">
        <v>30938</v>
      </c>
      <c r="H12" s="18">
        <v>5640</v>
      </c>
      <c r="I12" s="18">
        <f>G12+H12-C12-E12</f>
        <v>0</v>
      </c>
      <c r="J12" s="18">
        <f>C12-G12</f>
        <v>-29763</v>
      </c>
      <c r="K12" s="40"/>
    </row>
    <row r="13" ht="20.05" customHeight="1">
      <c r="B13" s="32"/>
      <c r="C13" s="17">
        <v>886</v>
      </c>
      <c r="D13" s="18">
        <v>37691</v>
      </c>
      <c r="E13" s="18">
        <f>D13-C13</f>
        <v>36805</v>
      </c>
      <c r="F13" s="18">
        <f>739+8</f>
        <v>747</v>
      </c>
      <c r="G13" s="18">
        <v>32066</v>
      </c>
      <c r="H13" s="18">
        <v>5625</v>
      </c>
      <c r="I13" s="18">
        <f>G13+H13-C13-E13</f>
        <v>0</v>
      </c>
      <c r="J13" s="18">
        <f>C13-G13</f>
        <v>-31180</v>
      </c>
      <c r="K13" s="40"/>
    </row>
    <row r="14" ht="20.05" customHeight="1">
      <c r="B14" s="32"/>
      <c r="C14" s="17">
        <v>2046</v>
      </c>
      <c r="D14" s="18">
        <v>37552</v>
      </c>
      <c r="E14" s="18">
        <f>D14-C14</f>
        <v>35506</v>
      </c>
      <c r="F14" s="18">
        <f>779+27</f>
        <v>806</v>
      </c>
      <c r="G14" s="18">
        <v>31965</v>
      </c>
      <c r="H14" s="18">
        <v>5587</v>
      </c>
      <c r="I14" s="18">
        <f>G14+H14-C14-E14</f>
        <v>0</v>
      </c>
      <c r="J14" s="18">
        <f>C14-G14</f>
        <v>-29919</v>
      </c>
      <c r="K14" s="40"/>
    </row>
    <row r="15" ht="20.05" customHeight="1">
      <c r="B15" s="32"/>
      <c r="C15" s="17">
        <v>2364</v>
      </c>
      <c r="D15" s="18">
        <v>38094</v>
      </c>
      <c r="E15" s="18">
        <f>D15-C15</f>
        <v>35730</v>
      </c>
      <c r="F15" s="18">
        <f>47+806</f>
        <v>853</v>
      </c>
      <c r="G15" s="18">
        <v>32519</v>
      </c>
      <c r="H15" s="18">
        <v>5575</v>
      </c>
      <c r="I15" s="18">
        <f>G15+H15-C15-E15</f>
        <v>0</v>
      </c>
      <c r="J15" s="18">
        <f>C15-G15</f>
        <v>-30155</v>
      </c>
      <c r="K15" s="40"/>
    </row>
    <row r="16" ht="20.05" customHeight="1">
      <c r="B16" s="34">
        <v>2021</v>
      </c>
      <c r="C16" s="17">
        <v>786</v>
      </c>
      <c r="D16" s="18">
        <v>37544</v>
      </c>
      <c r="E16" s="18">
        <f>D16-C16</f>
        <v>36758</v>
      </c>
      <c r="F16" s="18">
        <f>50+906</f>
        <v>956</v>
      </c>
      <c r="G16" s="18">
        <v>31963</v>
      </c>
      <c r="H16" s="18">
        <v>5581</v>
      </c>
      <c r="I16" s="18">
        <f>G16+H16-C16-E16</f>
        <v>0</v>
      </c>
      <c r="J16" s="18">
        <f>C16-G16</f>
        <v>-31177</v>
      </c>
      <c r="K16" s="40"/>
    </row>
    <row r="17" ht="20.05" customHeight="1">
      <c r="B17" s="32"/>
      <c r="C17" s="17">
        <v>671</v>
      </c>
      <c r="D17" s="18">
        <v>38931</v>
      </c>
      <c r="E17" s="18">
        <f>D17-C17</f>
        <v>38260</v>
      </c>
      <c r="F17" s="18">
        <f>55+949</f>
        <v>1004</v>
      </c>
      <c r="G17" s="18">
        <v>33348</v>
      </c>
      <c r="H17" s="18">
        <v>5583</v>
      </c>
      <c r="I17" s="18">
        <f>G17+H17-C17-E17</f>
        <v>0</v>
      </c>
      <c r="J17" s="18">
        <f>C17-G17</f>
        <v>-32677</v>
      </c>
      <c r="K17" s="18"/>
    </row>
    <row r="18" ht="20.05" customHeight="1">
      <c r="B18" s="32"/>
      <c r="C18" s="17">
        <v>1625</v>
      </c>
      <c r="D18" s="18">
        <v>40759</v>
      </c>
      <c r="E18" s="18">
        <f>D18-C18</f>
        <v>39134</v>
      </c>
      <c r="F18" s="18">
        <f>1009+61</f>
        <v>1070</v>
      </c>
      <c r="G18" s="18">
        <v>35161</v>
      </c>
      <c r="H18" s="18">
        <v>5598</v>
      </c>
      <c r="I18" s="18">
        <f>G18+H18-C18-E18</f>
        <v>0</v>
      </c>
      <c r="J18" s="18">
        <f>C18-G18</f>
        <v>-33536</v>
      </c>
      <c r="K18" s="18"/>
    </row>
    <row r="19" ht="20.05" customHeight="1">
      <c r="B19" s="32"/>
      <c r="C19" s="17">
        <v>3152</v>
      </c>
      <c r="D19" s="18">
        <v>39900</v>
      </c>
      <c r="E19" s="18">
        <f>D19-C19</f>
        <v>36748</v>
      </c>
      <c r="F19" s="18">
        <f>54+1053</f>
        <v>1107</v>
      </c>
      <c r="G19" s="18">
        <v>34242</v>
      </c>
      <c r="H19" s="18">
        <v>5658</v>
      </c>
      <c r="I19" s="18">
        <f>G19+H19-C19-E19</f>
        <v>0</v>
      </c>
      <c r="J19" s="18">
        <f>C19-G19</f>
        <v>-31090</v>
      </c>
      <c r="K19" s="18">
        <f>J19</f>
        <v>-31090</v>
      </c>
    </row>
    <row r="20" ht="20.05" customHeight="1">
      <c r="B20" s="34">
        <v>2022</v>
      </c>
      <c r="C20" s="17"/>
      <c r="D20" s="18"/>
      <c r="E20" s="18"/>
      <c r="F20" s="18"/>
      <c r="G20" s="18"/>
      <c r="H20" s="18"/>
      <c r="I20" s="18"/>
      <c r="J20" s="18"/>
      <c r="K20" s="18">
        <f>'Model'!F31</f>
        <v>-30698.36852778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3984" style="41" customWidth="1"/>
    <col min="2" max="2" width="11.0547" style="41" customWidth="1"/>
    <col min="3" max="5" width="9.13281" style="41" customWidth="1"/>
    <col min="6" max="16384" width="16.3516" style="41" customWidth="1"/>
  </cols>
  <sheetData>
    <row r="1" ht="11.5" customHeight="1"/>
    <row r="2" ht="27.65" customHeight="1">
      <c r="B2" t="s" s="2">
        <v>58</v>
      </c>
      <c r="C2" s="2"/>
      <c r="D2" s="2"/>
      <c r="E2" s="2"/>
    </row>
    <row r="3" ht="20.25" customHeight="1">
      <c r="B3" s="4"/>
      <c r="C3" t="s" s="5">
        <v>59</v>
      </c>
      <c r="D3" t="s" s="5">
        <v>39</v>
      </c>
      <c r="E3" t="s" s="5">
        <v>60</v>
      </c>
    </row>
    <row r="4" ht="20.25" customHeight="1">
      <c r="B4" s="27">
        <v>2018</v>
      </c>
      <c r="C4" s="28">
        <v>1929.355347</v>
      </c>
      <c r="D4" s="8"/>
      <c r="E4" s="8"/>
    </row>
    <row r="5" ht="20.05" customHeight="1">
      <c r="B5" s="32"/>
      <c r="C5" s="17">
        <v>1691.150635</v>
      </c>
      <c r="D5" s="22"/>
      <c r="E5" s="22"/>
    </row>
    <row r="6" ht="20.05" customHeight="1">
      <c r="B6" s="32"/>
      <c r="C6" s="17">
        <v>1313.239868</v>
      </c>
      <c r="D6" s="22"/>
      <c r="E6" s="22"/>
    </row>
    <row r="7" ht="20.05" customHeight="1">
      <c r="B7" s="32"/>
      <c r="C7" s="17">
        <v>1497.471313</v>
      </c>
      <c r="D7" s="22"/>
      <c r="E7" s="22"/>
    </row>
    <row r="8" ht="20.05" customHeight="1">
      <c r="B8" s="34">
        <v>2019</v>
      </c>
      <c r="C8" s="17">
        <v>1554.157959</v>
      </c>
      <c r="D8" s="22"/>
      <c r="E8" s="22"/>
    </row>
    <row r="9" ht="20.05" customHeight="1">
      <c r="B9" s="32"/>
      <c r="C9" s="17">
        <v>1634.336304</v>
      </c>
      <c r="D9" s="22"/>
      <c r="E9" s="22"/>
    </row>
    <row r="10" ht="20.05" customHeight="1">
      <c r="B10" s="32"/>
      <c r="C10" s="17">
        <v>1294.859985</v>
      </c>
      <c r="D10" s="22"/>
      <c r="E10" s="22"/>
    </row>
    <row r="11" ht="20.05" customHeight="1">
      <c r="B11" s="32"/>
      <c r="C11" s="17">
        <v>1139.670776</v>
      </c>
      <c r="D11" s="22"/>
      <c r="E11" s="22"/>
    </row>
    <row r="12" ht="20.05" customHeight="1">
      <c r="B12" s="34">
        <v>2020</v>
      </c>
      <c r="C12" s="17">
        <v>518.91394</v>
      </c>
      <c r="D12" s="22"/>
      <c r="E12" s="22"/>
    </row>
    <row r="13" ht="20.05" customHeight="1">
      <c r="B13" s="32"/>
      <c r="C13" s="17">
        <v>591.658875</v>
      </c>
      <c r="D13" s="22"/>
      <c r="E13" s="22"/>
    </row>
    <row r="14" ht="20.05" customHeight="1">
      <c r="B14" s="32"/>
      <c r="C14" s="17">
        <v>500</v>
      </c>
      <c r="D14" s="22"/>
      <c r="E14" s="22"/>
    </row>
    <row r="15" ht="20.05" customHeight="1">
      <c r="B15" s="32"/>
      <c r="C15" s="17">
        <v>1535</v>
      </c>
      <c r="D15" s="22"/>
      <c r="E15" s="22"/>
    </row>
    <row r="16" ht="20.05" customHeight="1">
      <c r="B16" s="34">
        <v>2021</v>
      </c>
      <c r="C16" s="17">
        <v>1095</v>
      </c>
      <c r="D16" s="22"/>
      <c r="E16" s="22"/>
    </row>
    <row r="17" ht="20.05" customHeight="1">
      <c r="B17" s="32"/>
      <c r="C17" s="17">
        <v>755</v>
      </c>
      <c r="D17" s="22"/>
      <c r="E17" s="22"/>
    </row>
    <row r="18" ht="20.05" customHeight="1">
      <c r="B18" s="32"/>
      <c r="C18" s="17">
        <v>1060</v>
      </c>
      <c r="D18" s="22"/>
      <c r="E18" s="22"/>
    </row>
    <row r="19" ht="20.05" customHeight="1">
      <c r="B19" s="32"/>
      <c r="C19" s="17">
        <v>895</v>
      </c>
      <c r="D19" s="22"/>
      <c r="E19" s="33">
        <v>905.216156029543</v>
      </c>
    </row>
    <row r="20" ht="20.05" customHeight="1">
      <c r="B20" s="34">
        <v>2022</v>
      </c>
      <c r="C20" s="17">
        <v>770</v>
      </c>
      <c r="D20" s="33">
        <f>C20</f>
        <v>770</v>
      </c>
      <c r="E20" s="33">
        <v>939.404268956255</v>
      </c>
    </row>
    <row r="21" ht="20.05" customHeight="1">
      <c r="B21" s="32"/>
      <c r="C21" s="17"/>
      <c r="D21" s="18">
        <f>'Model'!F44</f>
        <v>1135.538568358150</v>
      </c>
      <c r="E21" s="22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