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<sst xmlns="http://schemas.openxmlformats.org/spreadsheetml/2006/main" uniqueCount="60">
  <si>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</si>
  <si>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</si>
  <si>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2022</t>
  </si>
  <si>
    <t>Cashflow</t>
  </si>
  <si>
    <t>Growth</t>
  </si>
  <si>
    <t>Sales</t>
  </si>
  <si>
    <t xml:space="preserve">Cost ratio 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</si>
  <si>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</si>
  <si>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</si>
  <si>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</si>
  <si>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</si>
  <si>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</si>
  <si>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</si>
  <si>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</si>
  <si>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</si>
  <si>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</si>
  <si>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</si>
  <si>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</si>
  <si>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</si>
  <si>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</si>
  <si>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</si>
  <si>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</si>
  <si>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</si>
  <si>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</si>
  <si>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</si>
  <si>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</si>
  <si>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</si>
  <si>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</si>
  <si>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</si>
  <si>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</si>
  <si>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</si>
  <si>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</si>
  <si>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</si>
  <si>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</si>
  <si>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</si>
  <si>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</si>
  <si>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</si>
  <si>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</si>
  <si>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</si>
  <si>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</si>
  <si>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</si>
  <si>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</si>
  <si>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</si>
  <si>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</si>
  <si>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>Receipts</t>
  </si>
  <si>
    <t xml:space="preserve">Operating </t>
  </si>
  <si>
    <t xml:space="preserve">Investment </t>
  </si>
  <si>
    <t xml:space="preserve">Other interest </t>
  </si>
  <si>
    <t>Lease payments</t>
  </si>
  <si>
    <t>Liabilities</t>
  </si>
  <si>
    <t xml:space="preserve">Free cashflow </t>
  </si>
  <si>
    <t xml:space="preserve">Cashflow </t>
  </si>
  <si>
    <t>Cash</t>
  </si>
  <si>
    <t>Assets</t>
  </si>
  <si>
    <t>Check</t>
  </si>
  <si>
    <t>Net debt</t>
  </si>
  <si>
    <t>Share price</t>
  </si>
  <si>
    <t>ACST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</si>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</sst>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.0%"/>
    <numFmt numFmtId="61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495212</xdr:colOff>
      <xdr:row>2</xdr:row>
      <xdr:rowOff>35841</xdr:rowOff>
    </xdr:from>
    <xdr:to>
      <xdr:col>13</xdr:col>
      <xdr:colOff>739130</xdr:colOff>
      <xdr:row>48</xdr:row>
      <xdr:rowOff>117630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97312" y="709576"/>
          <a:ext cx="8956119" cy="118000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0156" style="1" customWidth="1"/>
    <col min="2" max="2" width="15.6172" style="1" customWidth="1"/>
    <col min="3" max="6" width="7.96094" style="1" customWidth="1"/>
    <col min="7" max="16384" width="16.3516" style="1" customWidth="1"/>
  </cols>
  <sheetData>
    <row r="1" ht="25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-0.00034679686115135</v>
      </c>
      <c r="D4" s="8"/>
      <c r="E4" s="8"/>
      <c r="F4" s="9">
        <f>AVERAGE(C5:F5)</f>
        <v>0.18</v>
      </c>
    </row>
    <row r="5" ht="20.05" customHeight="1">
      <c r="B5" t="s" s="10">
        <v>4</v>
      </c>
      <c r="C5" s="11">
        <v>0.15</v>
      </c>
      <c r="D5" s="12">
        <v>0.2</v>
      </c>
      <c r="E5" s="13">
        <v>0.4</v>
      </c>
      <c r="F5" s="12">
        <v>-0.03</v>
      </c>
    </row>
    <row r="6" ht="20.05" customHeight="1">
      <c r="B6" t="s" s="10">
        <v>5</v>
      </c>
      <c r="C6" s="14">
        <f>'Sales'!C32*(1+C5)</f>
        <v>333.5</v>
      </c>
      <c r="D6" s="15">
        <f>C6*(1+D5)</f>
        <v>400.2</v>
      </c>
      <c r="E6" s="15">
        <f>D6*(1+E5)</f>
        <v>560.28</v>
      </c>
      <c r="F6" s="15">
        <f>E6*(1+F5)</f>
        <v>543.4716</v>
      </c>
    </row>
    <row r="7" ht="20.05" customHeight="1">
      <c r="B7" t="s" s="10">
        <v>6</v>
      </c>
      <c r="C7" s="16">
        <f>AVERAGE('Sales'!H32)</f>
        <v>-0.986206896551724</v>
      </c>
      <c r="D7" s="17">
        <f>C7</f>
        <v>-0.986206896551724</v>
      </c>
      <c r="E7" s="17">
        <f>D7</f>
        <v>-0.986206896551724</v>
      </c>
      <c r="F7" s="17">
        <f>E7</f>
        <v>-0.986206896551724</v>
      </c>
    </row>
    <row r="8" ht="20.05" customHeight="1">
      <c r="B8" t="s" s="10">
        <v>7</v>
      </c>
      <c r="C8" s="18">
        <f>C6*C7</f>
        <v>-328.9</v>
      </c>
      <c r="D8" s="19">
        <f>D6*D7</f>
        <v>-394.68</v>
      </c>
      <c r="E8" s="19">
        <f>E6*E7</f>
        <v>-552.552</v>
      </c>
      <c r="F8" s="19">
        <f>F6*F7</f>
        <v>-535.97544</v>
      </c>
    </row>
    <row r="9" ht="20.05" customHeight="1">
      <c r="B9" t="s" s="10">
        <v>8</v>
      </c>
      <c r="C9" s="18">
        <f>C6+C8</f>
        <v>4.6</v>
      </c>
      <c r="D9" s="19">
        <f>D6+D8</f>
        <v>5.52</v>
      </c>
      <c r="E9" s="19">
        <f>E6+E8</f>
        <v>7.728</v>
      </c>
      <c r="F9" s="19">
        <f>F6+F8</f>
        <v>7.49616</v>
      </c>
    </row>
    <row r="10" ht="20.05" customHeight="1">
      <c r="B10" t="s" s="10">
        <v>9</v>
      </c>
      <c r="C10" s="18">
        <f>AVERAGE('Cashflow '!E31:E32)</f>
        <v>-0.2</v>
      </c>
      <c r="D10" s="19">
        <f>C10</f>
        <v>-0.2</v>
      </c>
      <c r="E10" s="19">
        <f>D10</f>
        <v>-0.2</v>
      </c>
      <c r="F10" s="19">
        <f>E10</f>
        <v>-0.2</v>
      </c>
    </row>
    <row r="11" ht="20.05" customHeight="1">
      <c r="B11" t="s" s="10">
        <v>10</v>
      </c>
      <c r="C11" s="18">
        <f>C12+C15+C13</f>
        <v>-4.4</v>
      </c>
      <c r="D11" s="19">
        <f>D12+D15+D13</f>
        <v>-5.32</v>
      </c>
      <c r="E11" s="19">
        <f>E12+E15+E13</f>
        <v>-7.528</v>
      </c>
      <c r="F11" s="19">
        <f>F12+F15+F13</f>
        <v>-7.29616</v>
      </c>
    </row>
    <row r="12" ht="20.05" customHeight="1">
      <c r="B12" t="s" s="10">
        <v>11</v>
      </c>
      <c r="C12" s="18">
        <f>-('Balance sheet'!G32)/20</f>
        <v>-58.5</v>
      </c>
      <c r="D12" s="19">
        <f>-C27/20</f>
        <v>-55.575</v>
      </c>
      <c r="E12" s="19">
        <f>-D27/20</f>
        <v>-52.79625</v>
      </c>
      <c r="F12" s="19">
        <f>-E27/20</f>
        <v>-50.1564375</v>
      </c>
    </row>
    <row r="13" ht="20.05" customHeight="1">
      <c r="B13" t="s" s="10">
        <v>12</v>
      </c>
      <c r="C13" s="18">
        <f>-MIN(0,C16)</f>
        <v>54.1</v>
      </c>
      <c r="D13" s="19">
        <f>-MIN(C28,D16)</f>
        <v>50.255</v>
      </c>
      <c r="E13" s="19">
        <f>-MIN(D28,E16)</f>
        <v>45.26825</v>
      </c>
      <c r="F13" s="19">
        <f>-MIN(E28,F16)</f>
        <v>42.8602775</v>
      </c>
    </row>
    <row r="14" ht="20.05" customHeight="1">
      <c r="B14" t="s" s="10">
        <v>13</v>
      </c>
      <c r="C14" s="20">
        <v>0</v>
      </c>
      <c r="D14" s="19"/>
      <c r="E14" s="19"/>
      <c r="F14" s="19"/>
    </row>
    <row r="15" ht="20.05" customHeight="1">
      <c r="B15" t="s" s="10">
        <v>14</v>
      </c>
      <c r="C15" s="18">
        <f>IF(C22&gt;0,-C22*$C$14,0)</f>
        <v>0</v>
      </c>
      <c r="D15" s="19">
        <f>IF(D22&gt;0,-D22*$C$14,0)</f>
        <v>0</v>
      </c>
      <c r="E15" s="19">
        <f>IF(E22&gt;0,-E22*$C$14,0)</f>
        <v>0</v>
      </c>
      <c r="F15" s="19">
        <f>IF(F22&gt;0,-F22*$C$14,0)</f>
        <v>0</v>
      </c>
    </row>
    <row r="16" ht="20.05" customHeight="1">
      <c r="B16" t="s" s="10">
        <v>15</v>
      </c>
      <c r="C16" s="18">
        <f>C9+C10+C12+C15</f>
        <v>-54.1</v>
      </c>
      <c r="D16" s="19">
        <f>D9+D10+D12+D15</f>
        <v>-50.255</v>
      </c>
      <c r="E16" s="19">
        <f>E9+E10+E12+E15</f>
        <v>-45.26825</v>
      </c>
      <c r="F16" s="19">
        <f>F9+F10+F12+F15</f>
        <v>-42.8602775</v>
      </c>
    </row>
    <row r="17" ht="20.05" customHeight="1">
      <c r="B17" t="s" s="10">
        <v>16</v>
      </c>
      <c r="C17" s="18">
        <f>'Balance sheet'!C32</f>
        <v>313.6</v>
      </c>
      <c r="D17" s="19">
        <f>C19</f>
        <v>313.6</v>
      </c>
      <c r="E17" s="19">
        <f>D19</f>
        <v>313.6</v>
      </c>
      <c r="F17" s="19">
        <f>E19</f>
        <v>313.6</v>
      </c>
    </row>
    <row r="18" ht="20.05" customHeight="1">
      <c r="B18" t="s" s="10">
        <v>17</v>
      </c>
      <c r="C18" s="18">
        <f>C9+C10+C11</f>
        <v>0</v>
      </c>
      <c r="D18" s="19">
        <f>D9+D10+D11</f>
        <v>0</v>
      </c>
      <c r="E18" s="19">
        <f>E9+E10+E11</f>
        <v>0</v>
      </c>
      <c r="F18" s="19">
        <f>F9+F10+F11</f>
        <v>0</v>
      </c>
    </row>
    <row r="19" ht="20.05" customHeight="1">
      <c r="B19" t="s" s="10">
        <v>18</v>
      </c>
      <c r="C19" s="18">
        <f>C17+C18</f>
        <v>313.6</v>
      </c>
      <c r="D19" s="19">
        <f>D17+D18</f>
        <v>313.6</v>
      </c>
      <c r="E19" s="19">
        <f>E17+E18</f>
        <v>313.6</v>
      </c>
      <c r="F19" s="19">
        <f>F17+F18</f>
        <v>313.6</v>
      </c>
    </row>
    <row r="20" ht="20.05" customHeight="1">
      <c r="B20" t="s" s="21">
        <v>19</v>
      </c>
      <c r="C20" s="22"/>
      <c r="D20" s="23"/>
      <c r="E20" s="23"/>
      <c r="F20" s="24"/>
    </row>
    <row r="21" ht="20.05" customHeight="1">
      <c r="B21" t="s" s="10">
        <v>20</v>
      </c>
      <c r="C21" s="18">
        <f>-AVERAGE('Sales'!E32)</f>
        <v>-29</v>
      </c>
      <c r="D21" s="19">
        <f>C21</f>
        <v>-29</v>
      </c>
      <c r="E21" s="19">
        <f>D21</f>
        <v>-29</v>
      </c>
      <c r="F21" s="19">
        <f>E21</f>
        <v>-29</v>
      </c>
    </row>
    <row r="22" ht="20.05" customHeight="1">
      <c r="B22" t="s" s="10">
        <v>21</v>
      </c>
      <c r="C22" s="18">
        <f>C6+C8+C21</f>
        <v>-24.4</v>
      </c>
      <c r="D22" s="19">
        <f>D6+D8+D21</f>
        <v>-23.48</v>
      </c>
      <c r="E22" s="19">
        <f>E6+E8+E21</f>
        <v>-21.272</v>
      </c>
      <c r="F22" s="19">
        <f>F6+F8+F21</f>
        <v>-21.50384</v>
      </c>
    </row>
    <row r="23" ht="20.05" customHeight="1">
      <c r="B23" t="s" s="21">
        <v>22</v>
      </c>
      <c r="C23" s="22"/>
      <c r="D23" s="23"/>
      <c r="E23" s="23"/>
      <c r="F23" s="19"/>
    </row>
    <row r="24" ht="20.05" customHeight="1">
      <c r="B24" t="s" s="10">
        <v>23</v>
      </c>
      <c r="C24" s="18">
        <f>'Balance sheet'!E32+'Balance sheet'!F32-C10</f>
        <v>2780.6</v>
      </c>
      <c r="D24" s="19">
        <f>C24-D10</f>
        <v>2780.8</v>
      </c>
      <c r="E24" s="19">
        <f>D24-E10</f>
        <v>2781</v>
      </c>
      <c r="F24" s="19">
        <f>E24-F10</f>
        <v>2781.2</v>
      </c>
    </row>
    <row r="25" ht="20.05" customHeight="1">
      <c r="B25" t="s" s="10">
        <v>24</v>
      </c>
      <c r="C25" s="18">
        <f>'Balance sheet'!F32-C21</f>
        <v>862</v>
      </c>
      <c r="D25" s="19">
        <f>C25-D21</f>
        <v>891</v>
      </c>
      <c r="E25" s="19">
        <f>D25-E21</f>
        <v>920</v>
      </c>
      <c r="F25" s="19">
        <f>E25-F21</f>
        <v>949</v>
      </c>
    </row>
    <row r="26" ht="20.05" customHeight="1">
      <c r="B26" t="s" s="10">
        <v>25</v>
      </c>
      <c r="C26" s="18">
        <f>C24-C25</f>
        <v>1918.6</v>
      </c>
      <c r="D26" s="19">
        <f>D24-D25</f>
        <v>1889.8</v>
      </c>
      <c r="E26" s="19">
        <f>E24-E25</f>
        <v>1861</v>
      </c>
      <c r="F26" s="19">
        <f>F24-F25</f>
        <v>1832.2</v>
      </c>
    </row>
    <row r="27" ht="20.05" customHeight="1">
      <c r="B27" t="s" s="10">
        <v>11</v>
      </c>
      <c r="C27" s="18">
        <f>'Balance sheet'!G32+C12</f>
        <v>1111.5</v>
      </c>
      <c r="D27" s="19">
        <f>C27+D12</f>
        <v>1055.925</v>
      </c>
      <c r="E27" s="19">
        <f>D27+E12</f>
        <v>1003.12875</v>
      </c>
      <c r="F27" s="19">
        <f>E27+F12</f>
        <v>952.9723125</v>
      </c>
    </row>
    <row r="28" ht="20.05" customHeight="1">
      <c r="B28" t="s" s="10">
        <v>12</v>
      </c>
      <c r="C28" s="18">
        <f>C13</f>
        <v>54.1</v>
      </c>
      <c r="D28" s="19">
        <f>C28+D13</f>
        <v>104.355</v>
      </c>
      <c r="E28" s="19">
        <f>D28+E13</f>
        <v>149.62325</v>
      </c>
      <c r="F28" s="19">
        <f>E28+F13</f>
        <v>192.4835275</v>
      </c>
    </row>
    <row r="29" ht="20.05" customHeight="1">
      <c r="B29" t="s" s="10">
        <v>26</v>
      </c>
      <c r="C29" s="18">
        <f>'Balance sheet'!H32+C22+C15</f>
        <v>1066.6</v>
      </c>
      <c r="D29" s="19">
        <f>C29+D22+D15</f>
        <v>1043.12</v>
      </c>
      <c r="E29" s="19">
        <f>D29+E22+E15</f>
        <v>1021.848</v>
      </c>
      <c r="F29" s="19">
        <f>E29+F22+F15</f>
        <v>1000.34416</v>
      </c>
    </row>
    <row r="30" ht="20.05" customHeight="1">
      <c r="B30" t="s" s="10">
        <v>27</v>
      </c>
      <c r="C30" s="18">
        <f>C27+C28+C29-C19-C26</f>
        <v>0</v>
      </c>
      <c r="D30" s="19">
        <f>D27+D28+D29-D19-D26</f>
        <v>0</v>
      </c>
      <c r="E30" s="19">
        <f>E27+E28+E29-E19-E26</f>
        <v>0</v>
      </c>
      <c r="F30" s="19">
        <f>F27+F28+F29-F19-F26</f>
        <v>0</v>
      </c>
    </row>
    <row r="31" ht="20.05" customHeight="1">
      <c r="B31" t="s" s="10">
        <v>28</v>
      </c>
      <c r="C31" s="18">
        <f>C19-C27-C28</f>
        <v>-852</v>
      </c>
      <c r="D31" s="19">
        <f>D19-D27-D28</f>
        <v>-846.6799999999999</v>
      </c>
      <c r="E31" s="19">
        <f>E19-E27-E28</f>
        <v>-839.152</v>
      </c>
      <c r="F31" s="19">
        <f>F19-F27-F28</f>
        <v>-831.8558399999999</v>
      </c>
    </row>
    <row r="32" ht="20.05" customHeight="1">
      <c r="B32" t="s" s="21">
        <v>29</v>
      </c>
      <c r="C32" s="18"/>
      <c r="D32" s="19"/>
      <c r="E32" s="19"/>
      <c r="F32" s="19"/>
    </row>
    <row r="33" ht="20.05" customHeight="1">
      <c r="B33" t="s" s="10">
        <v>30</v>
      </c>
      <c r="C33" s="18">
        <f>'Cashflow '!N32-C11</f>
        <v>-3227.5</v>
      </c>
      <c r="D33" s="19">
        <f>C33-D11</f>
        <v>-3222.18</v>
      </c>
      <c r="E33" s="19">
        <f>D33-E11</f>
        <v>-3214.652</v>
      </c>
      <c r="F33" s="19">
        <f>E33-F11</f>
        <v>-3207.35584</v>
      </c>
    </row>
    <row r="34" ht="20.05" customHeight="1">
      <c r="B34" t="s" s="10">
        <v>31</v>
      </c>
      <c r="C34" s="18"/>
      <c r="D34" s="19"/>
      <c r="E34" s="19"/>
      <c r="F34" s="19">
        <v>2205484800000</v>
      </c>
    </row>
    <row r="35" ht="20.05" customHeight="1">
      <c r="B35" t="s" s="10">
        <v>31</v>
      </c>
      <c r="C35" s="18"/>
      <c r="D35" s="19"/>
      <c r="E35" s="19"/>
      <c r="F35" s="19">
        <f>F34/1000000000</f>
        <v>2205.4848</v>
      </c>
    </row>
    <row r="36" ht="20.05" customHeight="1">
      <c r="B36" t="s" s="10">
        <v>32</v>
      </c>
      <c r="C36" s="18"/>
      <c r="D36" s="19"/>
      <c r="E36" s="19"/>
      <c r="F36" s="25">
        <f>F35/(F19+F26)</f>
        <v>1.02781470780129</v>
      </c>
    </row>
    <row r="37" ht="20.05" customHeight="1">
      <c r="B37" t="s" s="10">
        <v>33</v>
      </c>
      <c r="C37" s="18"/>
      <c r="D37" s="19"/>
      <c r="E37" s="19"/>
      <c r="F37" s="17">
        <f>-(C15+D15+E15+F15)/F35</f>
        <v>0</v>
      </c>
    </row>
    <row r="38" ht="20.05" customHeight="1">
      <c r="B38" t="s" s="10">
        <v>3</v>
      </c>
      <c r="C38" s="18"/>
      <c r="D38" s="19"/>
      <c r="E38" s="19"/>
      <c r="F38" s="19">
        <f>SUM(F9:F10)*4</f>
        <v>29.18464</v>
      </c>
    </row>
    <row r="39" ht="20.05" customHeight="1">
      <c r="B39" t="s" s="10">
        <v>34</v>
      </c>
      <c r="C39" s="18"/>
      <c r="D39" s="19"/>
      <c r="E39" s="19"/>
      <c r="F39" s="19">
        <f>'Balance sheet'!E32/F38</f>
        <v>66.726880989452</v>
      </c>
    </row>
    <row r="40" ht="20.05" customHeight="1">
      <c r="B40" t="s" s="10">
        <v>5</v>
      </c>
      <c r="C40" s="18"/>
      <c r="D40" s="19"/>
      <c r="E40" s="19"/>
      <c r="F40" s="19">
        <f>SUM(C6:F6)</f>
        <v>1837.4516</v>
      </c>
    </row>
    <row r="41" ht="20.05" customHeight="1">
      <c r="B41" t="s" s="10">
        <v>29</v>
      </c>
      <c r="C41" s="18"/>
      <c r="D41" s="19"/>
      <c r="E41" s="19"/>
      <c r="F41" s="26">
        <f>F35/F40</f>
        <v>1.20029545268022</v>
      </c>
    </row>
    <row r="42" ht="20.05" customHeight="1">
      <c r="B42" t="s" s="10">
        <v>35</v>
      </c>
      <c r="C42" s="18"/>
      <c r="D42" s="19"/>
      <c r="E42" s="19"/>
      <c r="F42" s="19">
        <v>1</v>
      </c>
    </row>
    <row r="43" ht="20.05" customHeight="1">
      <c r="B43" t="s" s="10">
        <v>36</v>
      </c>
      <c r="C43" s="18"/>
      <c r="D43" s="19"/>
      <c r="E43" s="19"/>
      <c r="F43" s="19">
        <f>F40*F42</f>
        <v>1837.4516</v>
      </c>
    </row>
    <row r="44" ht="20.05" customHeight="1">
      <c r="B44" t="s" s="10">
        <v>37</v>
      </c>
      <c r="C44" s="18"/>
      <c r="D44" s="19"/>
      <c r="E44" s="19"/>
      <c r="F44" s="19">
        <f>F35/F46</f>
        <v>12.6752</v>
      </c>
    </row>
    <row r="45" ht="20.05" customHeight="1">
      <c r="B45" t="s" s="10">
        <v>38</v>
      </c>
      <c r="C45" s="18"/>
      <c r="D45" s="19"/>
      <c r="E45" s="19"/>
      <c r="F45" s="19">
        <f>F43/F44</f>
        <v>144.964308255491</v>
      </c>
    </row>
    <row r="46" ht="20.05" customHeight="1">
      <c r="B46" t="s" s="10">
        <v>39</v>
      </c>
      <c r="C46" s="18"/>
      <c r="D46" s="19"/>
      <c r="E46" s="19"/>
      <c r="F46" s="19">
        <v>174</v>
      </c>
    </row>
    <row r="47" ht="20.05" customHeight="1">
      <c r="B47" t="s" s="10">
        <v>40</v>
      </c>
      <c r="C47" s="18"/>
      <c r="D47" s="19"/>
      <c r="E47" s="19"/>
      <c r="F47" s="17">
        <f>F45/F46-1</f>
        <v>-0.166871791635109</v>
      </c>
    </row>
    <row r="48" ht="20.05" customHeight="1">
      <c r="B48" t="s" s="10">
        <v>41</v>
      </c>
      <c r="C48" s="18"/>
      <c r="D48" s="19"/>
      <c r="E48" s="19"/>
      <c r="F48" s="17">
        <f>'Sales'!C32/'Sales'!C28-1</f>
        <v>-0.238845144356955</v>
      </c>
    </row>
    <row r="49" ht="20.05" customHeight="1">
      <c r="B49" t="s" s="10">
        <v>42</v>
      </c>
      <c r="C49" s="18"/>
      <c r="D49" s="19"/>
      <c r="E49" s="19"/>
      <c r="F49" s="17">
        <f>'Sales'!F35/'Sales'!E35-1</f>
        <v>0.247786674285867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75" style="27" customWidth="1"/>
    <col min="2" max="2" width="10.3984" style="27" customWidth="1"/>
    <col min="3" max="10" width="10.1719" style="27" customWidth="1"/>
    <col min="11" max="16384" width="16.3516" style="27" customWidth="1"/>
  </cols>
  <sheetData>
    <row r="1" ht="20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21</v>
      </c>
      <c r="G3" t="s" s="5">
        <v>43</v>
      </c>
      <c r="H3" t="s" s="5">
        <v>6</v>
      </c>
      <c r="I3" t="s" s="5">
        <v>6</v>
      </c>
      <c r="J3" t="s" s="5">
        <v>35</v>
      </c>
    </row>
    <row r="4" ht="20.25" customHeight="1">
      <c r="B4" s="28">
        <v>2015</v>
      </c>
      <c r="C4" s="29">
        <v>313.35</v>
      </c>
      <c r="D4" s="30"/>
      <c r="E4" s="31">
        <v>13.969</v>
      </c>
      <c r="F4" s="31">
        <v>11.59</v>
      </c>
      <c r="G4" s="9"/>
      <c r="H4" s="32">
        <f>(E4+F4-C4)/C4</f>
        <v>-0.918433062071166</v>
      </c>
      <c r="I4" s="32"/>
      <c r="J4" s="32"/>
    </row>
    <row r="5" ht="20.05" customHeight="1">
      <c r="B5" s="33"/>
      <c r="C5" s="18">
        <f>552.3-C4</f>
        <v>238.95</v>
      </c>
      <c r="D5" s="23"/>
      <c r="E5" s="19">
        <v>11.246</v>
      </c>
      <c r="F5" s="19">
        <f>4.3-F4</f>
        <v>-7.29</v>
      </c>
      <c r="G5" s="17">
        <f>C5/C4-1</f>
        <v>-0.23743417903303</v>
      </c>
      <c r="H5" s="17">
        <f>(E5+F5-C5)/C5</f>
        <v>-0.9834442351956481</v>
      </c>
      <c r="I5" s="17"/>
      <c r="J5" s="17"/>
    </row>
    <row r="6" ht="20.05" customHeight="1">
      <c r="B6" s="33"/>
      <c r="C6" s="18">
        <f>852.5-SUM(C4:C5)</f>
        <v>300.2</v>
      </c>
      <c r="D6" s="23"/>
      <c r="E6" s="19">
        <v>20.337</v>
      </c>
      <c r="F6" s="19">
        <f>13.37-SUM(F4:F5)</f>
        <v>9.07</v>
      </c>
      <c r="G6" s="17">
        <f>C6/C5-1</f>
        <v>0.256329776103787</v>
      </c>
      <c r="H6" s="17">
        <f>(E6+F6-C6)/C6</f>
        <v>-0.902041972018654</v>
      </c>
      <c r="I6" s="17"/>
      <c r="J6" s="17"/>
    </row>
    <row r="7" ht="20.05" customHeight="1">
      <c r="B7" s="33"/>
      <c r="C7" s="18">
        <f>1356.86-SUM(C4:C6)</f>
        <v>504.36</v>
      </c>
      <c r="D7" s="23"/>
      <c r="E7" s="19">
        <v>4.354</v>
      </c>
      <c r="F7" s="19">
        <f>42.22-SUM(F4:F6)</f>
        <v>28.85</v>
      </c>
      <c r="G7" s="17">
        <f>C7/C6-1</f>
        <v>0.680079946702199</v>
      </c>
      <c r="H7" s="17">
        <f>(E7+F7-C7)/C7</f>
        <v>-0.934166071853438</v>
      </c>
      <c r="I7" s="17"/>
      <c r="J7" s="17"/>
    </row>
    <row r="8" ht="20.05" customHeight="1">
      <c r="B8" s="34">
        <v>2016</v>
      </c>
      <c r="C8" s="18">
        <v>457.68</v>
      </c>
      <c r="D8" s="23"/>
      <c r="E8" s="19">
        <v>13.003</v>
      </c>
      <c r="F8" s="19">
        <v>18.8</v>
      </c>
      <c r="G8" s="17">
        <f>C8/C7-1</f>
        <v>-0.0925529383773495</v>
      </c>
      <c r="H8" s="17">
        <f>(E8+F8-C8)/C8</f>
        <v>-0.930512585212375</v>
      </c>
      <c r="I8" s="17"/>
      <c r="J8" s="17"/>
    </row>
    <row r="9" ht="20.05" customHeight="1">
      <c r="B9" s="33"/>
      <c r="C9" s="18">
        <f>943.68-C8</f>
        <v>486</v>
      </c>
      <c r="D9" s="23"/>
      <c r="E9" s="19">
        <v>14.578</v>
      </c>
      <c r="F9" s="19">
        <f>30.8-F8</f>
        <v>12</v>
      </c>
      <c r="G9" s="17">
        <f>C9/C8-1</f>
        <v>0.0618772941793393</v>
      </c>
      <c r="H9" s="17">
        <f>(E9+F9-C9)/C9</f>
        <v>-0.945312757201646</v>
      </c>
      <c r="I9" s="17"/>
      <c r="J9" s="17"/>
    </row>
    <row r="10" ht="20.05" customHeight="1">
      <c r="B10" s="33"/>
      <c r="C10" s="18">
        <f>1290.4-SUM(C8:C9)</f>
        <v>346.72</v>
      </c>
      <c r="D10" s="23"/>
      <c r="E10" s="19">
        <v>15.488</v>
      </c>
      <c r="F10" s="19">
        <f>40-SUM(F8:F9)</f>
        <v>9.199999999999999</v>
      </c>
      <c r="G10" s="17">
        <f>C10/C9-1</f>
        <v>-0.286584362139918</v>
      </c>
      <c r="H10" s="17">
        <f>(E10+F10-C10)/C10</f>
        <v>-0.928795569912321</v>
      </c>
      <c r="I10" s="17"/>
      <c r="J10" s="17"/>
    </row>
    <row r="11" ht="20.05" customHeight="1">
      <c r="B11" s="33"/>
      <c r="C11" s="18">
        <f>1794-SUM(C8:C10)</f>
        <v>503.6</v>
      </c>
      <c r="D11" s="23"/>
      <c r="E11" s="19">
        <v>17.889</v>
      </c>
      <c r="F11" s="19">
        <f>67.5-SUM(F8:F10)</f>
        <v>27.5</v>
      </c>
      <c r="G11" s="17">
        <f>C11/C10-1</f>
        <v>0.452468850946008</v>
      </c>
      <c r="H11" s="17">
        <f>(E11+F11-C11)/C11</f>
        <v>-0.909870929308975</v>
      </c>
      <c r="I11" s="17"/>
      <c r="J11" s="17"/>
    </row>
    <row r="12" ht="20.05" customHeight="1">
      <c r="B12" s="34">
        <v>2017</v>
      </c>
      <c r="C12" s="18">
        <v>506.22</v>
      </c>
      <c r="D12" s="23"/>
      <c r="E12" s="19">
        <v>16.585</v>
      </c>
      <c r="F12" s="19">
        <v>30.477</v>
      </c>
      <c r="G12" s="17">
        <f>C12/C11-1</f>
        <v>0.00520254169976172</v>
      </c>
      <c r="H12" s="17">
        <f>(E12+F12-C12)/C12</f>
        <v>-0.907032515507092</v>
      </c>
      <c r="I12" s="17"/>
      <c r="J12" s="17"/>
    </row>
    <row r="13" ht="20.05" customHeight="1">
      <c r="B13" s="33"/>
      <c r="C13" s="18">
        <f>1022.6-C12</f>
        <v>516.38</v>
      </c>
      <c r="D13" s="23"/>
      <c r="E13" s="19">
        <v>18.993</v>
      </c>
      <c r="F13" s="19">
        <f>64.42-F12</f>
        <v>33.943</v>
      </c>
      <c r="G13" s="17">
        <f>C13/C12-1</f>
        <v>0.0200703251550709</v>
      </c>
      <c r="H13" s="17">
        <f>(E13+F13-C13)/C13</f>
        <v>-0.897486347263643</v>
      </c>
      <c r="I13" s="17"/>
      <c r="J13" s="17"/>
    </row>
    <row r="14" ht="20.05" customHeight="1">
      <c r="B14" s="33"/>
      <c r="C14" s="18">
        <f>1945-SUM(C12:C13)</f>
        <v>922.4</v>
      </c>
      <c r="D14" s="23"/>
      <c r="E14" s="19">
        <v>26.104</v>
      </c>
      <c r="F14" s="19">
        <f>111.83-SUM(F12:F13)</f>
        <v>47.41</v>
      </c>
      <c r="G14" s="17">
        <f>C14/C13-1</f>
        <v>0.786281420659204</v>
      </c>
      <c r="H14" s="17">
        <f>(E14+F14-C14)/C14</f>
        <v>-0.920301387684302</v>
      </c>
      <c r="I14" s="17"/>
      <c r="J14" s="17"/>
    </row>
    <row r="15" ht="20.05" customHeight="1">
      <c r="B15" s="33"/>
      <c r="C15" s="18">
        <f>3026.98-SUM(C12:C14)</f>
        <v>1081.98</v>
      </c>
      <c r="D15" s="23"/>
      <c r="E15" s="19">
        <v>25.038</v>
      </c>
      <c r="F15" s="19">
        <f>153.79-SUM(F12:F14)</f>
        <v>41.96</v>
      </c>
      <c r="G15" s="17">
        <f>C15/C14-1</f>
        <v>0.173005203816132</v>
      </c>
      <c r="H15" s="17">
        <f>(E15+F15-C15)/C15</f>
        <v>-0.938078337862068</v>
      </c>
      <c r="I15" s="17"/>
      <c r="J15" s="17"/>
    </row>
    <row r="16" ht="20.05" customHeight="1">
      <c r="B16" s="34">
        <v>2018</v>
      </c>
      <c r="C16" s="18">
        <v>733.72</v>
      </c>
      <c r="D16" s="23"/>
      <c r="E16" s="19">
        <v>37.476</v>
      </c>
      <c r="F16" s="19">
        <v>38.54</v>
      </c>
      <c r="G16" s="17">
        <f>C16/C15-1</f>
        <v>-0.321872862714653</v>
      </c>
      <c r="H16" s="17">
        <f>(E16+F16-C16)/C16</f>
        <v>-0.896396445510549</v>
      </c>
      <c r="I16" s="17">
        <f>AVERAGE(H13:H16)</f>
        <v>-0.913065629580141</v>
      </c>
      <c r="J16" s="17"/>
    </row>
    <row r="17" ht="20.05" customHeight="1">
      <c r="B17" s="33"/>
      <c r="C17" s="18">
        <f>1658.87-C16</f>
        <v>925.15</v>
      </c>
      <c r="D17" s="23"/>
      <c r="E17" s="19">
        <v>30.152</v>
      </c>
      <c r="F17" s="19">
        <f>73.88-F16</f>
        <v>35.34</v>
      </c>
      <c r="G17" s="17">
        <f>C17/C16-1</f>
        <v>0.260903341874284</v>
      </c>
      <c r="H17" s="17">
        <f>(E17+F17-C17)/C17</f>
        <v>-0.929209317407988</v>
      </c>
      <c r="I17" s="17">
        <f>AVERAGE(H14:H17)</f>
        <v>-0.920996372116227</v>
      </c>
      <c r="J17" s="17"/>
    </row>
    <row r="18" ht="20.05" customHeight="1">
      <c r="B18" s="33"/>
      <c r="C18" s="18">
        <f>2733.7-SUM(C16:C17)</f>
        <v>1074.83</v>
      </c>
      <c r="D18" s="23"/>
      <c r="E18" s="19">
        <v>29.972</v>
      </c>
      <c r="F18" s="19">
        <f>92.9-SUM(F16:F17)</f>
        <v>19.02</v>
      </c>
      <c r="G18" s="17">
        <f>C18/C17-1</f>
        <v>0.161789980003243</v>
      </c>
      <c r="H18" s="17">
        <f>(E18+F18-C18)/C18</f>
        <v>-0.954418838327922</v>
      </c>
      <c r="I18" s="17">
        <f>AVERAGE(H15:H18)</f>
        <v>-0.929525734777132</v>
      </c>
      <c r="J18" s="17"/>
    </row>
    <row r="19" ht="20.05" customHeight="1">
      <c r="B19" s="33"/>
      <c r="C19" s="18">
        <f>3725.2-SUM(C16:C18)</f>
        <v>991.5</v>
      </c>
      <c r="D19" s="23"/>
      <c r="E19" s="19">
        <v>26.473</v>
      </c>
      <c r="F19" s="19">
        <f>21.4-SUM(F16:F18)</f>
        <v>-71.5</v>
      </c>
      <c r="G19" s="17">
        <f>C19/C18-1</f>
        <v>-0.0775285393969279</v>
      </c>
      <c r="H19" s="17">
        <f>(E19+F19-C19)/C19</f>
        <v>-1.04541301059002</v>
      </c>
      <c r="I19" s="17">
        <f>AVERAGE(H16:H19)</f>
        <v>-0.95635940295912</v>
      </c>
      <c r="J19" s="17"/>
    </row>
    <row r="20" ht="20.05" customHeight="1">
      <c r="B20" s="34">
        <v>2019</v>
      </c>
      <c r="C20" s="18">
        <v>806.6</v>
      </c>
      <c r="D20" s="23"/>
      <c r="E20" s="19">
        <v>29.381</v>
      </c>
      <c r="F20" s="19">
        <v>-90.03</v>
      </c>
      <c r="G20" s="17">
        <f>C20/C19-1</f>
        <v>-0.186485123550177</v>
      </c>
      <c r="H20" s="17">
        <f>(E20+F20-C20)/C20</f>
        <v>-1.07519092486982</v>
      </c>
      <c r="I20" s="17">
        <f>AVERAGE(H17:H20)</f>
        <v>-1.00105802279894</v>
      </c>
      <c r="J20" s="17"/>
    </row>
    <row r="21" ht="20.05" customHeight="1">
      <c r="B21" s="33"/>
      <c r="C21" s="18">
        <f>1546.3-C20</f>
        <v>739.7</v>
      </c>
      <c r="D21" s="23"/>
      <c r="E21" s="19">
        <v>27.381</v>
      </c>
      <c r="F21" s="19">
        <f>-402.86-F20</f>
        <v>-312.83</v>
      </c>
      <c r="G21" s="17">
        <f>C21/C20-1</f>
        <v>-0.0829407389040417</v>
      </c>
      <c r="H21" s="17">
        <f>(E21+F21-C21)/C21</f>
        <v>-1.38589833716372</v>
      </c>
      <c r="I21" s="17">
        <f>AVERAGE(H18:H21)</f>
        <v>-1.11523027773787</v>
      </c>
      <c r="J21" s="17"/>
    </row>
    <row r="22" ht="20.05" customHeight="1">
      <c r="B22" s="33"/>
      <c r="C22" s="18">
        <f>3069.5-SUM(C20:C21)</f>
        <v>1523.2</v>
      </c>
      <c r="D22" s="23"/>
      <c r="E22" s="19">
        <v>28.842</v>
      </c>
      <c r="F22" s="19">
        <f>-749.6-SUM(F20:F21)</f>
        <v>-346.74</v>
      </c>
      <c r="G22" s="17">
        <f>C22/C21-1</f>
        <v>1.05921319453833</v>
      </c>
      <c r="H22" s="17">
        <f>(E22+F22-C22)/C22</f>
        <v>-1.20870404411765</v>
      </c>
      <c r="I22" s="17">
        <f>AVERAGE(H19:H22)</f>
        <v>-1.1788015791853</v>
      </c>
      <c r="J22" s="17"/>
    </row>
    <row r="23" ht="20.05" customHeight="1">
      <c r="B23" s="33"/>
      <c r="C23" s="18">
        <f>3947-SUM(C20:C22)</f>
        <v>877.5</v>
      </c>
      <c r="D23" s="23"/>
      <c r="E23" s="19">
        <v>38.469</v>
      </c>
      <c r="F23" s="19">
        <f>-1131.8-SUM(F20:F22)</f>
        <v>-382.2</v>
      </c>
      <c r="G23" s="17">
        <f>C23/C22-1</f>
        <v>-0.42391018907563</v>
      </c>
      <c r="H23" s="17">
        <f>(E23+F23-C23)/C23</f>
        <v>-1.39171623931624</v>
      </c>
      <c r="I23" s="17">
        <f>AVERAGE(H20:H23)</f>
        <v>-1.26537738636686</v>
      </c>
      <c r="J23" s="17"/>
    </row>
    <row r="24" ht="20.05" customHeight="1">
      <c r="B24" s="34">
        <v>2020</v>
      </c>
      <c r="C24" s="18">
        <v>477.6</v>
      </c>
      <c r="D24" s="23"/>
      <c r="E24" s="19">
        <v>29.904</v>
      </c>
      <c r="F24" s="19">
        <v>-120.4</v>
      </c>
      <c r="G24" s="17">
        <f>C24/C23-1</f>
        <v>-0.455726495726496</v>
      </c>
      <c r="H24" s="17">
        <f>(E24+F24-C24)/C24</f>
        <v>-1.18948073701843</v>
      </c>
      <c r="I24" s="17">
        <f>AVERAGE(H21:H24)</f>
        <v>-1.29394983940401</v>
      </c>
      <c r="J24" s="17"/>
    </row>
    <row r="25" ht="20.05" customHeight="1">
      <c r="B25" s="33"/>
      <c r="C25" s="18">
        <f>748.745-C24</f>
        <v>271.145</v>
      </c>
      <c r="D25" s="23"/>
      <c r="E25" s="19">
        <v>34.649</v>
      </c>
      <c r="F25" s="19">
        <f>-250.186-F24</f>
        <v>-129.786</v>
      </c>
      <c r="G25" s="17">
        <f>C25/C24-1</f>
        <v>-0.432275963149079</v>
      </c>
      <c r="H25" s="17">
        <f>(E25+F25-C25)/C25</f>
        <v>-1.3508713050213</v>
      </c>
      <c r="I25" s="17">
        <f>AVERAGE(H22:H25)</f>
        <v>-1.28519308136841</v>
      </c>
      <c r="J25" s="17"/>
    </row>
    <row r="26" ht="20.05" customHeight="1">
      <c r="B26" s="33"/>
      <c r="C26" s="18">
        <v>212.255</v>
      </c>
      <c r="D26" s="19">
        <v>298.2595</v>
      </c>
      <c r="E26" s="19">
        <v>32.447</v>
      </c>
      <c r="F26" s="19">
        <v>-502.814</v>
      </c>
      <c r="G26" s="17">
        <f>C26/C25-1</f>
        <v>-0.21719006435671</v>
      </c>
      <c r="H26" s="17">
        <f>(E26+F26-C26)/C26</f>
        <v>-3.21604673623707</v>
      </c>
      <c r="I26" s="17">
        <f>AVERAGE(H23:H26)</f>
        <v>-1.78702875439826</v>
      </c>
      <c r="J26" s="17"/>
    </row>
    <row r="27" ht="20.05" customHeight="1">
      <c r="B27" s="33"/>
      <c r="C27" s="18">
        <v>243</v>
      </c>
      <c r="D27" s="19">
        <v>406.7175</v>
      </c>
      <c r="E27" s="19">
        <f>130.8-SUM(E24:E26)</f>
        <v>33.8</v>
      </c>
      <c r="F27" s="19">
        <f>-1340.1-SUM(F24:F26)</f>
        <v>-587.1</v>
      </c>
      <c r="G27" s="17">
        <f>C27/C26-1</f>
        <v>0.14484935572778</v>
      </c>
      <c r="H27" s="17">
        <f>(E27+F27-C27)/C27</f>
        <v>-3.27695473251029</v>
      </c>
      <c r="I27" s="17">
        <f>AVERAGE(H24:H27)</f>
        <v>-2.25833837769677</v>
      </c>
      <c r="J27" s="17"/>
    </row>
    <row r="28" ht="20.05" customHeight="1">
      <c r="B28" s="34">
        <v>2021</v>
      </c>
      <c r="C28" s="18">
        <v>381</v>
      </c>
      <c r="D28" s="19">
        <v>291.6</v>
      </c>
      <c r="E28" s="19">
        <v>31.2</v>
      </c>
      <c r="F28" s="19">
        <v>-81.40000000000001</v>
      </c>
      <c r="G28" s="17">
        <f>C28/C27-1</f>
        <v>0.567901234567901</v>
      </c>
      <c r="H28" s="17">
        <f>(E28+F28-C28)/C28</f>
        <v>-1.13175853018373</v>
      </c>
      <c r="I28" s="17">
        <f>AVERAGE(H25:H28)</f>
        <v>-2.2439078259881</v>
      </c>
      <c r="J28" s="17"/>
    </row>
    <row r="29" ht="20.05" customHeight="1">
      <c r="B29" s="33"/>
      <c r="C29" s="18">
        <f>644.1-C28</f>
        <v>263.1</v>
      </c>
      <c r="D29" s="19">
        <v>476.25</v>
      </c>
      <c r="E29" s="19">
        <f>61.7-E28</f>
        <v>30.5</v>
      </c>
      <c r="F29" s="19">
        <f>-156.7-F28</f>
        <v>-75.3</v>
      </c>
      <c r="G29" s="17">
        <f>C29/C28-1</f>
        <v>-0.309448818897638</v>
      </c>
      <c r="H29" s="17">
        <f>(E29+F29-C29)/C29</f>
        <v>-1.17027746104143</v>
      </c>
      <c r="I29" s="17">
        <f>AVERAGE(H26:H29)</f>
        <v>-2.19875936499313</v>
      </c>
      <c r="J29" s="17"/>
    </row>
    <row r="30" ht="20.05" customHeight="1">
      <c r="B30" s="33"/>
      <c r="C30" s="18">
        <f>1080.6-SUM(C28:C29)</f>
        <v>436.5</v>
      </c>
      <c r="D30" s="19">
        <v>270.993</v>
      </c>
      <c r="E30" s="19">
        <f>92-SUM(E28:E29)</f>
        <v>30.3</v>
      </c>
      <c r="F30" s="19">
        <f>-389.7-SUM(F28:F29)</f>
        <v>-233</v>
      </c>
      <c r="G30" s="17">
        <f>C30/C29-1</f>
        <v>0.659064994298746</v>
      </c>
      <c r="H30" s="17">
        <f>(E30+F30-C30)/C30</f>
        <v>-1.46437571592211</v>
      </c>
      <c r="I30" s="17">
        <f>AVERAGE(H27:H30)</f>
        <v>-1.76084160991439</v>
      </c>
      <c r="J30" s="17"/>
    </row>
    <row r="31" ht="20.05" customHeight="1">
      <c r="B31" s="33"/>
      <c r="C31" s="18">
        <f>1494.7-SUM(C28:C30)</f>
        <v>414.1</v>
      </c>
      <c r="D31" s="23">
        <v>632.925</v>
      </c>
      <c r="E31" s="19">
        <f>121.8-SUM(E28:E30)</f>
        <v>29.8</v>
      </c>
      <c r="F31" s="19">
        <f>-693.4-SUM(F28:F30)</f>
        <v>-303.7</v>
      </c>
      <c r="G31" s="17">
        <f>C31/C30-1</f>
        <v>-0.0513172966781214</v>
      </c>
      <c r="H31" s="17">
        <f>(E31+F31-C31)/C31</f>
        <v>-1.66143443612654</v>
      </c>
      <c r="I31" s="17">
        <f>AVERAGE(H28:H31)</f>
        <v>-1.35696153581845</v>
      </c>
      <c r="J31" s="24"/>
    </row>
    <row r="32" ht="20.05" customHeight="1">
      <c r="B32" s="34">
        <v>2022</v>
      </c>
      <c r="C32" s="18">
        <v>290</v>
      </c>
      <c r="D32" s="23">
        <v>418.241</v>
      </c>
      <c r="E32" s="19">
        <v>29</v>
      </c>
      <c r="F32" s="19">
        <v>-25</v>
      </c>
      <c r="G32" s="17">
        <f>C32/C31-1</f>
        <v>-0.299686066167592</v>
      </c>
      <c r="H32" s="17">
        <f>(E32+F32-C32)/C32</f>
        <v>-0.986206896551724</v>
      </c>
      <c r="I32" s="17">
        <f>AVERAGE(H29:H32)</f>
        <v>-1.32057362741045</v>
      </c>
      <c r="J32" s="17">
        <f>I32</f>
        <v>-1.32057362741045</v>
      </c>
    </row>
    <row r="33" ht="20.05" customHeight="1">
      <c r="B33" s="33"/>
      <c r="C33" s="18"/>
      <c r="D33" s="23">
        <f>'Model'!C6</f>
        <v>333.5</v>
      </c>
      <c r="E33" s="19"/>
      <c r="F33" s="19"/>
      <c r="G33" s="12"/>
      <c r="H33" s="12"/>
      <c r="I33" s="17"/>
      <c r="J33" s="12">
        <f>'Model'!C7</f>
        <v>-0.986206896551724</v>
      </c>
    </row>
    <row r="34" ht="20.05" customHeight="1">
      <c r="B34" s="33"/>
      <c r="C34" s="18"/>
      <c r="D34" s="19">
        <f>'Model'!D6</f>
        <v>400.2</v>
      </c>
      <c r="E34" s="19"/>
      <c r="F34" s="19"/>
      <c r="G34" s="12"/>
      <c r="H34" s="12"/>
      <c r="I34" s="17"/>
      <c r="J34" s="17"/>
    </row>
    <row r="35" ht="20.05" customHeight="1">
      <c r="B35" s="33"/>
      <c r="C35" s="18"/>
      <c r="D35" s="19">
        <f>'Model'!E6</f>
        <v>560.28</v>
      </c>
      <c r="E35" s="19">
        <f>SUM(C26:C32)</f>
        <v>2239.955</v>
      </c>
      <c r="F35" s="19">
        <f>SUM(D26:D32)</f>
        <v>2794.986</v>
      </c>
      <c r="G35" s="12"/>
      <c r="H35" s="12"/>
      <c r="I35" s="17"/>
      <c r="J35" s="17"/>
    </row>
    <row r="36" ht="20.05" customHeight="1">
      <c r="B36" s="34">
        <v>2023</v>
      </c>
      <c r="C36" s="18"/>
      <c r="D36" s="19">
        <f>'Model'!F6</f>
        <v>543.4716</v>
      </c>
      <c r="E36" s="19"/>
      <c r="F36" s="19"/>
      <c r="G36" s="12"/>
      <c r="H36" s="12"/>
      <c r="I36" s="17"/>
      <c r="J36" s="17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0469" style="35" customWidth="1"/>
    <col min="2" max="2" width="9.61719" style="35" customWidth="1"/>
    <col min="3" max="3" width="11.0312" style="35" customWidth="1"/>
    <col min="4" max="4" width="10.6953" style="35" customWidth="1"/>
    <col min="5" max="5" width="10.5078" style="35" customWidth="1"/>
    <col min="6" max="7" width="10.6953" style="35" customWidth="1"/>
    <col min="8" max="16" width="9.82812" style="35" customWidth="1"/>
    <col min="17" max="16384" width="16.3516" style="35" customWidth="1"/>
  </cols>
  <sheetData>
    <row r="1" ht="16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44</v>
      </c>
      <c r="D3" t="s" s="5">
        <v>45</v>
      </c>
      <c r="E3" t="s" s="5">
        <v>46</v>
      </c>
      <c r="F3" t="s" s="5">
        <v>47</v>
      </c>
      <c r="G3" t="s" s="5">
        <v>48</v>
      </c>
      <c r="H3" t="s" s="5">
        <v>49</v>
      </c>
      <c r="I3" t="s" s="5">
        <v>14</v>
      </c>
      <c r="J3" t="s" s="5">
        <v>10</v>
      </c>
      <c r="K3" t="s" s="5">
        <v>50</v>
      </c>
      <c r="L3" t="s" s="5">
        <v>51</v>
      </c>
      <c r="M3" t="s" s="5">
        <v>35</v>
      </c>
      <c r="N3" t="s" s="5">
        <v>30</v>
      </c>
      <c r="O3" t="s" s="5">
        <v>35</v>
      </c>
      <c r="P3" s="36"/>
    </row>
    <row r="4" ht="20.25" customHeight="1">
      <c r="B4" s="28">
        <v>2015</v>
      </c>
      <c r="C4" s="29">
        <v>245.65</v>
      </c>
      <c r="D4" s="31">
        <v>-92.2</v>
      </c>
      <c r="E4" s="31">
        <v>-11.15</v>
      </c>
      <c r="F4" s="31">
        <v>-6.8</v>
      </c>
      <c r="G4" s="31">
        <v>0</v>
      </c>
      <c r="H4" s="31"/>
      <c r="I4" s="31"/>
      <c r="J4" s="31">
        <v>106.16</v>
      </c>
      <c r="K4" s="31">
        <f>SUM(D4:G4)</f>
        <v>-110.15</v>
      </c>
      <c r="L4" s="31"/>
      <c r="M4" s="31"/>
      <c r="N4" s="31">
        <f>-(J4-F4)</f>
        <v>-112.96</v>
      </c>
      <c r="O4" s="31"/>
      <c r="P4" s="31">
        <v>1</v>
      </c>
    </row>
    <row r="5" ht="20.05" customHeight="1">
      <c r="B5" s="33"/>
      <c r="C5" s="18">
        <f>549.92-C4</f>
        <v>304.27</v>
      </c>
      <c r="D5" s="19">
        <f>-98.69-D4</f>
        <v>-6.49</v>
      </c>
      <c r="E5" s="19">
        <f>-42-E4</f>
        <v>-30.85</v>
      </c>
      <c r="F5" s="19">
        <v>-13.7</v>
      </c>
      <c r="G5" s="19">
        <v>0</v>
      </c>
      <c r="H5" s="19"/>
      <c r="I5" s="19"/>
      <c r="J5" s="19">
        <f>152.46-J4</f>
        <v>46.3</v>
      </c>
      <c r="K5" s="19">
        <f>SUM(D5:G5)</f>
        <v>-51.04</v>
      </c>
      <c r="L5" s="19"/>
      <c r="M5" s="19"/>
      <c r="N5" s="19">
        <f>-(J5-F5)+N4</f>
        <v>-172.96</v>
      </c>
      <c r="O5" s="19"/>
      <c r="P5" s="19">
        <f>1+P4</f>
        <v>2</v>
      </c>
    </row>
    <row r="6" ht="20.05" customHeight="1">
      <c r="B6" s="33"/>
      <c r="C6" s="18">
        <f>869.7-SUM(C4:C5)</f>
        <v>319.78</v>
      </c>
      <c r="D6" s="19">
        <f>-56.7-SUM(D4:D5)</f>
        <v>41.99</v>
      </c>
      <c r="E6" s="19">
        <f>-77.28-SUM(E4:E5)</f>
        <v>-35.28</v>
      </c>
      <c r="F6" s="19">
        <v>-15.3</v>
      </c>
      <c r="G6" s="19">
        <v>0</v>
      </c>
      <c r="H6" s="19"/>
      <c r="I6" s="19"/>
      <c r="J6" s="19">
        <f>152.9-SUM(J4:J5)</f>
        <v>0.44</v>
      </c>
      <c r="K6" s="19">
        <f>SUM(D6:G6)</f>
        <v>-8.59</v>
      </c>
      <c r="L6" s="19"/>
      <c r="M6" s="19"/>
      <c r="N6" s="19">
        <f>-(J6-F6)+N5</f>
        <v>-188.7</v>
      </c>
      <c r="O6" s="19"/>
      <c r="P6" s="19">
        <f>1+P5</f>
        <v>3</v>
      </c>
    </row>
    <row r="7" ht="20.05" customHeight="1">
      <c r="B7" s="33"/>
      <c r="C7" s="18">
        <f>1289.8-SUM(C4:C6)</f>
        <v>420.1</v>
      </c>
      <c r="D7" s="19">
        <f>-24.96-SUM(D4:D6)</f>
        <v>31.74</v>
      </c>
      <c r="E7" s="19">
        <f>-110-SUM(E4:E6)</f>
        <v>-32.72</v>
      </c>
      <c r="F7" s="19">
        <v>-9.199999999999999</v>
      </c>
      <c r="G7" s="19">
        <v>0</v>
      </c>
      <c r="H7" s="19"/>
      <c r="I7" s="19"/>
      <c r="J7" s="19">
        <f>149.33-SUM(J4:J6)</f>
        <v>-3.57</v>
      </c>
      <c r="K7" s="19">
        <f>SUM(D7:G7)</f>
        <v>-10.18</v>
      </c>
      <c r="L7" s="19"/>
      <c r="M7" s="19"/>
      <c r="N7" s="19">
        <f>-(J7-F7)+N6</f>
        <v>-194.33</v>
      </c>
      <c r="O7" s="19"/>
      <c r="P7" s="19">
        <f>1+P6</f>
        <v>4</v>
      </c>
    </row>
    <row r="8" ht="20.05" customHeight="1">
      <c r="B8" s="34">
        <v>2016</v>
      </c>
      <c r="C8" s="18">
        <v>251.18</v>
      </c>
      <c r="D8" s="19">
        <v>-37.56</v>
      </c>
      <c r="E8" s="19">
        <v>-36.7</v>
      </c>
      <c r="F8" s="19">
        <v>-8</v>
      </c>
      <c r="G8" s="19">
        <v>0</v>
      </c>
      <c r="H8" s="19"/>
      <c r="I8" s="19"/>
      <c r="J8" s="19">
        <v>77.23999999999999</v>
      </c>
      <c r="K8" s="19">
        <f>SUM(D8:G8)</f>
        <v>-82.26000000000001</v>
      </c>
      <c r="L8" s="19">
        <f>AVERAGE(K5:K8)</f>
        <v>-38.0175</v>
      </c>
      <c r="M8" s="19"/>
      <c r="N8" s="19">
        <f>-(J8-F8)+N7</f>
        <v>-279.57</v>
      </c>
      <c r="O8" s="19"/>
      <c r="P8" s="19">
        <f>1+P7</f>
        <v>5</v>
      </c>
    </row>
    <row r="9" ht="20.05" customHeight="1">
      <c r="B9" s="33"/>
      <c r="C9" s="18">
        <f>675.9-C8</f>
        <v>424.72</v>
      </c>
      <c r="D9" s="19">
        <f>-83.4-D8</f>
        <v>-45.84</v>
      </c>
      <c r="E9" s="19">
        <f>-65.11-E8</f>
        <v>-28.41</v>
      </c>
      <c r="F9" s="19">
        <v>-7</v>
      </c>
      <c r="G9" s="19">
        <v>0</v>
      </c>
      <c r="H9" s="19"/>
      <c r="I9" s="19"/>
      <c r="J9" s="19">
        <f>753.8-J8</f>
        <v>676.5599999999999</v>
      </c>
      <c r="K9" s="19">
        <f>SUM(D9:G9)</f>
        <v>-81.25</v>
      </c>
      <c r="L9" s="19">
        <f>AVERAGE(K6:K9)</f>
        <v>-45.57</v>
      </c>
      <c r="M9" s="19"/>
      <c r="N9" s="19">
        <f>-(J9-F9)+N8</f>
        <v>-963.13</v>
      </c>
      <c r="O9" s="19"/>
      <c r="P9" s="19">
        <f>1+P8</f>
        <v>6</v>
      </c>
    </row>
    <row r="10" ht="20.05" customHeight="1">
      <c r="B10" s="33"/>
      <c r="C10" s="18">
        <f>1078.9-SUM(C8:C9)</f>
        <v>403</v>
      </c>
      <c r="D10" s="19">
        <f>-126.4-SUM(D8:D9)</f>
        <v>-43</v>
      </c>
      <c r="E10" s="19">
        <f>-87.2-SUM(E8:E9)</f>
        <v>-22.09</v>
      </c>
      <c r="F10" s="19">
        <v>-20</v>
      </c>
      <c r="G10" s="19">
        <v>0</v>
      </c>
      <c r="H10" s="19"/>
      <c r="I10" s="19"/>
      <c r="J10" s="19">
        <f>640.7-SUM(J8:J9)</f>
        <v>-113.1</v>
      </c>
      <c r="K10" s="19">
        <f>SUM(D10:G10)</f>
        <v>-85.09</v>
      </c>
      <c r="L10" s="19">
        <f>AVERAGE(K7:K10)</f>
        <v>-64.69499999999999</v>
      </c>
      <c r="M10" s="19"/>
      <c r="N10" s="19">
        <f>-(J10-F10)+N9</f>
        <v>-870.03</v>
      </c>
      <c r="O10" s="19"/>
      <c r="P10" s="19">
        <f>1+P9</f>
        <v>7</v>
      </c>
    </row>
    <row r="11" ht="20.05" customHeight="1">
      <c r="B11" s="33"/>
      <c r="C11" s="18">
        <f>1512.5-SUM(C8:C10)</f>
        <v>433.6</v>
      </c>
      <c r="D11" s="19">
        <f>-158.25-SUM(D8:D10)</f>
        <v>-31.85</v>
      </c>
      <c r="E11" s="19">
        <f>-137.15-SUM(E8:E10)</f>
        <v>-49.95</v>
      </c>
      <c r="F11" s="19">
        <v>-33</v>
      </c>
      <c r="G11" s="19">
        <v>-0.7</v>
      </c>
      <c r="H11" s="19"/>
      <c r="I11" s="19"/>
      <c r="J11" s="19">
        <f>373.97-SUM(J8:J10)</f>
        <v>-266.73</v>
      </c>
      <c r="K11" s="19">
        <f>SUM(D11:G11)</f>
        <v>-115.5</v>
      </c>
      <c r="L11" s="19">
        <f>AVERAGE(K8:K11)</f>
        <v>-91.02500000000001</v>
      </c>
      <c r="M11" s="19"/>
      <c r="N11" s="19">
        <f>-(J11-F11)+N10</f>
        <v>-636.3</v>
      </c>
      <c r="O11" s="19"/>
      <c r="P11" s="19">
        <f>1+P10</f>
        <v>8</v>
      </c>
    </row>
    <row r="12" ht="20.05" customHeight="1">
      <c r="B12" s="34">
        <v>2017</v>
      </c>
      <c r="C12" s="18">
        <v>237.5</v>
      </c>
      <c r="D12" s="19">
        <v>-212.58</v>
      </c>
      <c r="E12" s="19">
        <v>-1.7</v>
      </c>
      <c r="F12" s="19">
        <v>-9.5</v>
      </c>
      <c r="G12" s="19">
        <v>-0.2</v>
      </c>
      <c r="H12" s="19"/>
      <c r="I12" s="19"/>
      <c r="J12" s="19">
        <v>253</v>
      </c>
      <c r="K12" s="19">
        <f>SUM(D12:G12)</f>
        <v>-223.98</v>
      </c>
      <c r="L12" s="19">
        <f>AVERAGE(K9:K12)</f>
        <v>-126.455</v>
      </c>
      <c r="M12" s="19"/>
      <c r="N12" s="19">
        <f>-(J12-F12)+N11</f>
        <v>-898.8</v>
      </c>
      <c r="O12" s="19"/>
      <c r="P12" s="19">
        <f>1+P11</f>
        <v>9</v>
      </c>
    </row>
    <row r="13" ht="20.05" customHeight="1">
      <c r="B13" s="33"/>
      <c r="C13" s="18">
        <f>475.5-C12</f>
        <v>238</v>
      </c>
      <c r="D13" s="19">
        <f>-459.67-D12</f>
        <v>-247.09</v>
      </c>
      <c r="E13" s="19">
        <f>-21.39-E12</f>
        <v>-19.69</v>
      </c>
      <c r="F13" s="19">
        <v>-11.5</v>
      </c>
      <c r="G13" s="19">
        <v>-0.3</v>
      </c>
      <c r="H13" s="19"/>
      <c r="I13" s="19"/>
      <c r="J13" s="19">
        <f>461.22-J12</f>
        <v>208.22</v>
      </c>
      <c r="K13" s="19">
        <f>SUM(D13:G13)</f>
        <v>-278.58</v>
      </c>
      <c r="L13" s="19">
        <f>AVERAGE(K10:K13)</f>
        <v>-175.7875</v>
      </c>
      <c r="M13" s="19"/>
      <c r="N13" s="19">
        <f>-(J13-F13)+N12</f>
        <v>-1118.52</v>
      </c>
      <c r="O13" s="19"/>
      <c r="P13" s="19">
        <f>1+P12</f>
        <v>10</v>
      </c>
    </row>
    <row r="14" ht="20.05" customHeight="1">
      <c r="B14" s="33"/>
      <c r="C14" s="18">
        <f>755.3-SUM(C12:C13)</f>
        <v>279.8</v>
      </c>
      <c r="D14" s="19">
        <f>-849.55-SUM(D12:D13)</f>
        <v>-389.88</v>
      </c>
      <c r="E14" s="19">
        <f>-121.6-SUM(E12:E13)</f>
        <v>-100.21</v>
      </c>
      <c r="F14" s="19">
        <v>-34.4</v>
      </c>
      <c r="G14" s="19">
        <v>-0.7</v>
      </c>
      <c r="H14" s="19"/>
      <c r="I14" s="19"/>
      <c r="J14" s="19">
        <f>1157.8-SUM(J12:J13)</f>
        <v>696.58</v>
      </c>
      <c r="K14" s="19">
        <f>SUM(D14:G14)</f>
        <v>-525.1900000000001</v>
      </c>
      <c r="L14" s="19">
        <f>AVERAGE(K11:K14)</f>
        <v>-285.8125</v>
      </c>
      <c r="M14" s="19"/>
      <c r="N14" s="19">
        <f>-(J14-F14)+N13</f>
        <v>-1849.5</v>
      </c>
      <c r="O14" s="19"/>
      <c r="P14" s="19">
        <f>1+P13</f>
        <v>11</v>
      </c>
    </row>
    <row r="15" ht="20.05" customHeight="1">
      <c r="B15" s="33"/>
      <c r="C15" s="18">
        <f>1170.9-SUM(C12:C14)</f>
        <v>415.6</v>
      </c>
      <c r="D15" s="19">
        <f>-1128.26-SUM(D12:D14)</f>
        <v>-278.71</v>
      </c>
      <c r="E15" s="19">
        <f>-230.79-SUM(E12:E14)</f>
        <v>-109.19</v>
      </c>
      <c r="F15" s="19">
        <v>-26.7</v>
      </c>
      <c r="G15" s="19">
        <v>-0.4</v>
      </c>
      <c r="H15" s="19"/>
      <c r="I15" s="19"/>
      <c r="J15" s="19">
        <f>1435.4-SUM(J12:J14)</f>
        <v>277.6</v>
      </c>
      <c r="K15" s="19">
        <f>SUM(D15:G15)</f>
        <v>-415</v>
      </c>
      <c r="L15" s="19">
        <f>AVERAGE(K12:K15)</f>
        <v>-360.6875</v>
      </c>
      <c r="M15" s="19"/>
      <c r="N15" s="19">
        <f>-(J15-F15)+N14</f>
        <v>-2153.8</v>
      </c>
      <c r="O15" s="19"/>
      <c r="P15" s="19">
        <f>1+P14</f>
        <v>12</v>
      </c>
    </row>
    <row r="16" ht="20.05" customHeight="1">
      <c r="B16" s="34">
        <v>2018</v>
      </c>
      <c r="C16" s="18">
        <v>197.21</v>
      </c>
      <c r="D16" s="19">
        <v>-116.83</v>
      </c>
      <c r="E16" s="19">
        <v>67</v>
      </c>
      <c r="F16" s="19">
        <v>-42</v>
      </c>
      <c r="G16" s="19">
        <v>-0.4</v>
      </c>
      <c r="H16" s="19"/>
      <c r="I16" s="19"/>
      <c r="J16" s="19">
        <v>9.65</v>
      </c>
      <c r="K16" s="19">
        <f>SUM(D16:G16)</f>
        <v>-92.23</v>
      </c>
      <c r="L16" s="19">
        <f>AVERAGE(K13:K16)</f>
        <v>-327.75</v>
      </c>
      <c r="M16" s="19"/>
      <c r="N16" s="19">
        <f>-(J16-F16)+N15</f>
        <v>-2205.45</v>
      </c>
      <c r="O16" s="19"/>
      <c r="P16" s="19">
        <f>1+P15</f>
        <v>13</v>
      </c>
    </row>
    <row r="17" ht="20.05" customHeight="1">
      <c r="B17" s="33"/>
      <c r="C17" s="18">
        <f>456.7-C16</f>
        <v>259.49</v>
      </c>
      <c r="D17" s="19">
        <f>-162.79-D16</f>
        <v>-45.96</v>
      </c>
      <c r="E17" s="19">
        <f>-133.14-E16</f>
        <v>-200.14</v>
      </c>
      <c r="F17" s="19">
        <v>-122</v>
      </c>
      <c r="G17" s="19">
        <v>0</v>
      </c>
      <c r="H17" s="19"/>
      <c r="I17" s="19"/>
      <c r="J17" s="19">
        <f>229-J16</f>
        <v>219.35</v>
      </c>
      <c r="K17" s="19">
        <f>SUM(D17:G17)</f>
        <v>-368.1</v>
      </c>
      <c r="L17" s="19">
        <f>AVERAGE(K14:K17)</f>
        <v>-350.13</v>
      </c>
      <c r="M17" s="19"/>
      <c r="N17" s="19">
        <f>-(J17-F17)+N16</f>
        <v>-2546.8</v>
      </c>
      <c r="O17" s="19"/>
      <c r="P17" s="19">
        <f>1+P16</f>
        <v>14</v>
      </c>
    </row>
    <row r="18" ht="20.05" customHeight="1">
      <c r="B18" s="33"/>
      <c r="C18" s="18">
        <f>881.29-SUM(C16:C17)</f>
        <v>424.59</v>
      </c>
      <c r="D18" s="19">
        <f>-392.5-SUM(D16:D17)</f>
        <v>-229.71</v>
      </c>
      <c r="E18" s="19">
        <f>-244.6-SUM(E16:E17)</f>
        <v>-111.46</v>
      </c>
      <c r="F18" s="19">
        <v>-91</v>
      </c>
      <c r="G18" s="19">
        <v>-0.4</v>
      </c>
      <c r="H18" s="19"/>
      <c r="I18" s="19"/>
      <c r="J18" s="19">
        <f>590.4-SUM(J16:J17)</f>
        <v>361.4</v>
      </c>
      <c r="K18" s="19">
        <f>SUM(D18:G18)</f>
        <v>-432.57</v>
      </c>
      <c r="L18" s="19">
        <f>AVERAGE(K15:K18)</f>
        <v>-326.975</v>
      </c>
      <c r="M18" s="19"/>
      <c r="N18" s="19">
        <f>-(J18-F18)+N17</f>
        <v>-2999.2</v>
      </c>
      <c r="O18" s="19"/>
      <c r="P18" s="19">
        <f>1+P17</f>
        <v>15</v>
      </c>
    </row>
    <row r="19" ht="20.05" customHeight="1">
      <c r="B19" s="33"/>
      <c r="C19" s="18">
        <f>665.4-SUM(C16:C18)</f>
        <v>-215.89</v>
      </c>
      <c r="D19" s="19">
        <f>-857.3-SUM(D16:D18)</f>
        <v>-464.8</v>
      </c>
      <c r="E19" s="19">
        <f>-258-SUM(E16:E18)</f>
        <v>-13.4</v>
      </c>
      <c r="F19" s="19">
        <v>122</v>
      </c>
      <c r="G19" s="19">
        <v>0.2</v>
      </c>
      <c r="H19" s="19"/>
      <c r="I19" s="19"/>
      <c r="J19" s="19">
        <f>1123-SUM(J16:J18)</f>
        <v>532.6</v>
      </c>
      <c r="K19" s="19">
        <f>SUM(D19:G19)</f>
        <v>-356</v>
      </c>
      <c r="L19" s="19">
        <f>AVERAGE(K16:K19)</f>
        <v>-312.225</v>
      </c>
      <c r="M19" s="19"/>
      <c r="N19" s="19">
        <f>-(J19-F19)+N18</f>
        <v>-3409.8</v>
      </c>
      <c r="O19" s="19"/>
      <c r="P19" s="19">
        <f>1+P18</f>
        <v>16</v>
      </c>
    </row>
    <row r="20" ht="20.05" customHeight="1">
      <c r="B20" s="34">
        <v>2019</v>
      </c>
      <c r="C20" s="18">
        <v>315.9</v>
      </c>
      <c r="D20" s="19">
        <v>-420.9</v>
      </c>
      <c r="E20" s="19">
        <v>-9.359999999999999</v>
      </c>
      <c r="F20" s="19">
        <v>-75</v>
      </c>
      <c r="G20" s="19">
        <v>-1.3</v>
      </c>
      <c r="H20" s="19"/>
      <c r="I20" s="19"/>
      <c r="J20" s="19">
        <v>365.4</v>
      </c>
      <c r="K20" s="19">
        <f>SUM(D20:G20)</f>
        <v>-506.56</v>
      </c>
      <c r="L20" s="19">
        <f>AVERAGE(K17:K20)</f>
        <v>-415.8075</v>
      </c>
      <c r="M20" s="19"/>
      <c r="N20" s="19">
        <f>-(J20-F20)+N19</f>
        <v>-3850.2</v>
      </c>
      <c r="O20" s="19"/>
      <c r="P20" s="19">
        <f>1+P19</f>
        <v>17</v>
      </c>
    </row>
    <row r="21" ht="20.05" customHeight="1">
      <c r="B21" s="33"/>
      <c r="C21" s="18">
        <f>617.9-C20</f>
        <v>302</v>
      </c>
      <c r="D21" s="19">
        <f>-700-D20</f>
        <v>-279.1</v>
      </c>
      <c r="E21" s="19">
        <f>-158.4-E20</f>
        <v>-149.04</v>
      </c>
      <c r="F21" s="19">
        <v>-69</v>
      </c>
      <c r="G21" s="19">
        <v>-1.2</v>
      </c>
      <c r="H21" s="19"/>
      <c r="I21" s="19"/>
      <c r="J21" s="19">
        <f>793.5-J20</f>
        <v>428.1</v>
      </c>
      <c r="K21" s="19">
        <f>SUM(D21:G21)</f>
        <v>-498.34</v>
      </c>
      <c r="L21" s="19">
        <f>AVERAGE(K18:K21)</f>
        <v>-448.3675</v>
      </c>
      <c r="M21" s="19"/>
      <c r="N21" s="19">
        <f>-(J21-F21)+N20</f>
        <v>-4347.3</v>
      </c>
      <c r="O21" s="19"/>
      <c r="P21" s="19">
        <f>1+P20</f>
        <v>18</v>
      </c>
    </row>
    <row r="22" ht="20.05" customHeight="1">
      <c r="B22" s="33"/>
      <c r="C22" s="18">
        <f>1831-SUM(C20:C21)</f>
        <v>1213.1</v>
      </c>
      <c r="D22" s="19">
        <f>89.9-SUM(D20:D21)</f>
        <v>789.9</v>
      </c>
      <c r="E22" s="19">
        <f>-77.77-SUM(E20:E21)</f>
        <v>80.63</v>
      </c>
      <c r="F22" s="19">
        <v>-209</v>
      </c>
      <c r="G22" s="19">
        <v>-1.3</v>
      </c>
      <c r="H22" s="19"/>
      <c r="I22" s="19"/>
      <c r="J22" s="19">
        <f>-28.8-SUM(J20:J21)</f>
        <v>-822.3</v>
      </c>
      <c r="K22" s="19">
        <f>SUM(D22:G22)</f>
        <v>660.23</v>
      </c>
      <c r="L22" s="19">
        <f>AVERAGE(K19:K22)</f>
        <v>-175.1675</v>
      </c>
      <c r="M22" s="19"/>
      <c r="N22" s="19">
        <f>-(J22-F22)+N21</f>
        <v>-3734</v>
      </c>
      <c r="O22" s="19"/>
      <c r="P22" s="19">
        <f>1+P21</f>
        <v>19</v>
      </c>
    </row>
    <row r="23" ht="20.05" customHeight="1">
      <c r="B23" s="33"/>
      <c r="C23" s="18">
        <f>1235.5-SUM(C20:C22)</f>
        <v>-595.5</v>
      </c>
      <c r="D23" s="19">
        <f>-341.7-SUM(D20:D22)</f>
        <v>-431.6</v>
      </c>
      <c r="E23" s="19">
        <f>-175.9-SUM(E20:E22)</f>
        <v>-98.13</v>
      </c>
      <c r="F23" s="19">
        <v>-186</v>
      </c>
      <c r="G23" s="19">
        <v>-9</v>
      </c>
      <c r="H23" s="19"/>
      <c r="I23" s="19"/>
      <c r="J23" s="19">
        <f>476-SUM(J20:J22)</f>
        <v>504.8</v>
      </c>
      <c r="K23" s="19">
        <f>SUM(D23:G23)</f>
        <v>-724.73</v>
      </c>
      <c r="L23" s="19">
        <f>AVERAGE(K20:K23)</f>
        <v>-267.35</v>
      </c>
      <c r="M23" s="19"/>
      <c r="N23" s="19">
        <f>-(J23-F23)+N22</f>
        <v>-4424.8</v>
      </c>
      <c r="O23" s="19"/>
      <c r="P23" s="19">
        <f>1+P22</f>
        <v>20</v>
      </c>
    </row>
    <row r="24" ht="20.05" customHeight="1">
      <c r="B24" s="34">
        <v>2020</v>
      </c>
      <c r="C24" s="18">
        <v>6023.2</v>
      </c>
      <c r="D24" s="19">
        <v>2166</v>
      </c>
      <c r="E24" s="19">
        <v>-44</v>
      </c>
      <c r="F24" s="19">
        <v>-17</v>
      </c>
      <c r="G24" s="19">
        <v>-1.3</v>
      </c>
      <c r="H24" s="19">
        <f>J24-I24-F24-G24</f>
        <v>-1810.2</v>
      </c>
      <c r="I24" s="19">
        <v>0</v>
      </c>
      <c r="J24" s="19">
        <v>-1828.5</v>
      </c>
      <c r="K24" s="19">
        <f>SUM(D24:G24)</f>
        <v>2103.7</v>
      </c>
      <c r="L24" s="19">
        <f>AVERAGE(K21:K24)</f>
        <v>385.215</v>
      </c>
      <c r="M24" s="19"/>
      <c r="N24" s="19">
        <f>-(J24-F24)+N23</f>
        <v>-2613.3</v>
      </c>
      <c r="O24" s="19"/>
      <c r="P24" s="19">
        <f>1+P23</f>
        <v>21</v>
      </c>
    </row>
    <row r="25" ht="20.05" customHeight="1">
      <c r="B25" s="33"/>
      <c r="C25" s="18">
        <f>6329.3-C24</f>
        <v>306.1</v>
      </c>
      <c r="D25" s="19">
        <f>2135.6-D24</f>
        <v>-30.4</v>
      </c>
      <c r="E25" s="19">
        <f>-64.39-E24</f>
        <v>-20.39</v>
      </c>
      <c r="F25" s="19">
        <v>-6</v>
      </c>
      <c r="G25" s="19">
        <v>-1.4</v>
      </c>
      <c r="H25" s="19">
        <f>J25-I25-F25-G25</f>
        <v>-181.4</v>
      </c>
      <c r="I25" s="19">
        <f>0-I24</f>
        <v>0</v>
      </c>
      <c r="J25" s="19">
        <f>-2017.3-J24</f>
        <v>-188.8</v>
      </c>
      <c r="K25" s="19">
        <f>SUM(D25:G25)</f>
        <v>-58.19</v>
      </c>
      <c r="L25" s="19">
        <f>AVERAGE(K22:K25)</f>
        <v>495.2525</v>
      </c>
      <c r="M25" s="19"/>
      <c r="N25" s="19">
        <f>-(J25-F25)+N24</f>
        <v>-2430.5</v>
      </c>
      <c r="O25" s="19"/>
      <c r="P25" s="19">
        <f>1+P24</f>
        <v>22</v>
      </c>
    </row>
    <row r="26" ht="20.05" customHeight="1">
      <c r="B26" s="33"/>
      <c r="C26" s="18">
        <f>6449-C25-C24</f>
        <v>119.7</v>
      </c>
      <c r="D26" s="19">
        <f>1829-D25-D24</f>
        <v>-306.6</v>
      </c>
      <c r="E26" s="19">
        <f>-60-E25-E24</f>
        <v>4.39</v>
      </c>
      <c r="F26" s="19">
        <f>-27-F25-F24</f>
        <v>-4</v>
      </c>
      <c r="G26" s="19">
        <v>-1.4</v>
      </c>
      <c r="H26" s="19">
        <f>J26-I26-F26-G26</f>
        <v>-1358.2</v>
      </c>
      <c r="I26" s="19">
        <f>1500-2.1-SUM(I24:I25)</f>
        <v>1497.9</v>
      </c>
      <c r="J26" s="19">
        <f>-1883-J25-J24</f>
        <v>134.3</v>
      </c>
      <c r="K26" s="19">
        <f>SUM(D26:G26)</f>
        <v>-307.61</v>
      </c>
      <c r="L26" s="19">
        <f>AVERAGE(K23:K26)</f>
        <v>253.2925</v>
      </c>
      <c r="M26" s="19"/>
      <c r="N26" s="19">
        <f>-(J26-F26)+N25</f>
        <v>-2568.8</v>
      </c>
      <c r="O26" s="19"/>
      <c r="P26" s="19">
        <f>1+P25</f>
        <v>23</v>
      </c>
    </row>
    <row r="27" ht="20.05" customHeight="1">
      <c r="B27" s="33"/>
      <c r="C27" s="18">
        <f>6866.2-SUM(C24:C26)</f>
        <v>417.2</v>
      </c>
      <c r="D27" s="19">
        <f>1761.7-SUM(D24:D26)</f>
        <v>-67.3</v>
      </c>
      <c r="E27" s="19">
        <f>-61.7-SUM(E24:E26)</f>
        <v>-1.7</v>
      </c>
      <c r="F27" s="19">
        <f>-173.2-SUM(F24:F26)</f>
        <v>-146.2</v>
      </c>
      <c r="G27" s="19">
        <v>-1.4</v>
      </c>
      <c r="H27" s="19">
        <f>J27-I27-F27-G27</f>
        <v>227.3</v>
      </c>
      <c r="I27" s="19">
        <f>1500-2.8-SUM(I24:I26)</f>
        <v>-0.7</v>
      </c>
      <c r="J27" s="19">
        <f>-1804-SUM(J24:J26)</f>
        <v>79</v>
      </c>
      <c r="K27" s="19">
        <f>SUM(D27:G27)</f>
        <v>-216.6</v>
      </c>
      <c r="L27" s="19">
        <f>AVERAGE(K24:K27)</f>
        <v>380.325</v>
      </c>
      <c r="M27" s="19"/>
      <c r="N27" s="19">
        <f>-(J27-F27)+N26</f>
        <v>-2794</v>
      </c>
      <c r="O27" s="19"/>
      <c r="P27" s="19">
        <f>1+P26</f>
        <v>24</v>
      </c>
    </row>
    <row r="28" ht="20.05" customHeight="1">
      <c r="B28" s="34">
        <v>2021</v>
      </c>
      <c r="C28" s="18">
        <v>312.4</v>
      </c>
      <c r="D28" s="19">
        <v>35.8</v>
      </c>
      <c r="E28" s="19">
        <v>-2.5</v>
      </c>
      <c r="F28" s="19">
        <v>-12.7</v>
      </c>
      <c r="G28" s="19">
        <v>-1.4</v>
      </c>
      <c r="H28" s="19">
        <f>J28-I28-F28-G28</f>
        <v>-1.4</v>
      </c>
      <c r="I28" s="19">
        <v>-0.7</v>
      </c>
      <c r="J28" s="19">
        <f>-16.2</f>
        <v>-16.2</v>
      </c>
      <c r="K28" s="19">
        <f>SUM(D28:G28)</f>
        <v>19.2</v>
      </c>
      <c r="L28" s="19">
        <f>AVERAGE(K25:K28)</f>
        <v>-140.8</v>
      </c>
      <c r="M28" s="19"/>
      <c r="N28" s="19">
        <f>-(J28-F28)+N27</f>
        <v>-2790.5</v>
      </c>
      <c r="O28" s="19"/>
      <c r="P28" s="19">
        <f>1+P27</f>
        <v>25</v>
      </c>
    </row>
    <row r="29" ht="20.05" customHeight="1">
      <c r="B29" s="33"/>
      <c r="C29" s="18">
        <f>564.2-C28</f>
        <v>251.8</v>
      </c>
      <c r="D29" s="19">
        <f>7.1-D28</f>
        <v>-28.7</v>
      </c>
      <c r="E29" s="19">
        <f>-9.2-E28</f>
        <v>-6.7</v>
      </c>
      <c r="F29" s="19">
        <f>-15.6-F28</f>
        <v>-2.9</v>
      </c>
      <c r="G29" s="19">
        <f>-2.9-G28</f>
        <v>-1.5</v>
      </c>
      <c r="H29" s="19">
        <f>J29-I29-F29-G29</f>
        <v>48</v>
      </c>
      <c r="I29" s="19">
        <f>-0.7-I28</f>
        <v>0</v>
      </c>
      <c r="J29" s="19">
        <f>27.4-J28</f>
        <v>43.6</v>
      </c>
      <c r="K29" s="19">
        <f>SUM(D29:G29)</f>
        <v>-39.8</v>
      </c>
      <c r="L29" s="19">
        <f>AVERAGE(K26:K29)</f>
        <v>-136.2025</v>
      </c>
      <c r="M29" s="19"/>
      <c r="N29" s="19">
        <f>-(J29-F29)+N28</f>
        <v>-2837</v>
      </c>
      <c r="O29" s="19"/>
      <c r="P29" s="19">
        <f>1+P28</f>
        <v>26</v>
      </c>
    </row>
    <row r="30" ht="20.05" customHeight="1">
      <c r="B30" s="33"/>
      <c r="C30" s="18">
        <f>922.6-SUM(C28:C29)</f>
        <v>358.4</v>
      </c>
      <c r="D30" s="19">
        <f>23.2-SUM(D28:D29)</f>
        <v>16.1</v>
      </c>
      <c r="E30" s="19">
        <f>-10.5-SUM(E28:E29)</f>
        <v>-1.3</v>
      </c>
      <c r="F30" s="19">
        <f>-230.2-SUM(F28:F29)</f>
        <v>-214.6</v>
      </c>
      <c r="G30" s="19">
        <f>-4.3-SUM(G28:G29)</f>
        <v>-1.4</v>
      </c>
      <c r="H30" s="19">
        <f>J30-I30-F30-G30</f>
        <v>-1061.4</v>
      </c>
      <c r="I30" s="19">
        <f>-1.1-20.2+1500-0.7-SUM(I28:I29)</f>
        <v>1478.7</v>
      </c>
      <c r="J30" s="19">
        <f>228.7-SUM(J28:J29)</f>
        <v>201.3</v>
      </c>
      <c r="K30" s="19">
        <f>SUM(D30:G30)</f>
        <v>-201.2</v>
      </c>
      <c r="L30" s="19">
        <f>AVERAGE(K27:K30)</f>
        <v>-109.6</v>
      </c>
      <c r="M30" s="19"/>
      <c r="N30" s="19">
        <f>-(J30-F30)+N29</f>
        <v>-3252.9</v>
      </c>
      <c r="O30" s="19"/>
      <c r="P30" s="19">
        <f>1+P29</f>
        <v>27</v>
      </c>
    </row>
    <row r="31" ht="20.05" customHeight="1">
      <c r="B31" s="33"/>
      <c r="C31" s="18">
        <f>1776.4-SUM(C28:C30)</f>
        <v>853.8</v>
      </c>
      <c r="D31" s="19">
        <f>197.1-SUM(D28:D30)</f>
        <v>173.9</v>
      </c>
      <c r="E31" s="19">
        <f>-8.7-SUM(E28:E30)</f>
        <v>1.8</v>
      </c>
      <c r="F31" s="19">
        <f>-238-SUM(F28:F30)</f>
        <v>-7.8</v>
      </c>
      <c r="G31" s="19">
        <f>-5.3-SUM(G28:G30)</f>
        <v>-1</v>
      </c>
      <c r="H31" s="19">
        <f>J31-I31-F31-G31</f>
        <v>-10.8</v>
      </c>
      <c r="I31" s="19">
        <f>1500-1.1-20.2-SUM(I28:I30)</f>
        <v>0.7</v>
      </c>
      <c r="J31" s="19">
        <f>209.8-SUM(J28:J30)</f>
        <v>-18.9</v>
      </c>
      <c r="K31" s="19">
        <f>SUM(D31:G31)</f>
        <v>166.9</v>
      </c>
      <c r="L31" s="19">
        <f>AVERAGE(K28:K31)</f>
        <v>-13.725</v>
      </c>
      <c r="M31" s="24"/>
      <c r="N31" s="19">
        <f>-(J31-F31)+N30</f>
        <v>-3241.8</v>
      </c>
      <c r="O31" s="24"/>
      <c r="P31" s="19">
        <f>1+P30</f>
        <v>28</v>
      </c>
    </row>
    <row r="32" ht="20.05" customHeight="1">
      <c r="B32" s="34">
        <v>2022</v>
      </c>
      <c r="C32" s="18">
        <v>152</v>
      </c>
      <c r="D32" s="19">
        <v>-145.2</v>
      </c>
      <c r="E32" s="19">
        <v>-2.2</v>
      </c>
      <c r="F32" s="19">
        <v>-1.1</v>
      </c>
      <c r="G32" s="19">
        <v>0</v>
      </c>
      <c r="H32" s="19">
        <v>-9.800000000000001</v>
      </c>
      <c r="I32" s="19">
        <v>0</v>
      </c>
      <c r="J32" s="19">
        <v>-11</v>
      </c>
      <c r="K32" s="19">
        <f>SUM(D32:G32)</f>
        <v>-148.5</v>
      </c>
      <c r="L32" s="19">
        <f>AVERAGE(K29:K32)</f>
        <v>-55.65</v>
      </c>
      <c r="M32" s="19">
        <f>L32</f>
        <v>-55.65</v>
      </c>
      <c r="N32" s="19">
        <f>-(J32-F32)+N31</f>
        <v>-3231.9</v>
      </c>
      <c r="O32" s="19">
        <f>N32</f>
        <v>-3231.9</v>
      </c>
      <c r="P32" s="19">
        <f>1+P31</f>
        <v>29</v>
      </c>
    </row>
    <row r="33" ht="20.05" customHeight="1">
      <c r="B33" s="33"/>
      <c r="C33" s="18"/>
      <c r="D33" s="19"/>
      <c r="E33" s="19"/>
      <c r="F33" s="19"/>
      <c r="G33" s="19"/>
      <c r="H33" s="19"/>
      <c r="I33" s="19"/>
      <c r="J33" s="19"/>
      <c r="K33" s="19"/>
      <c r="L33" s="24"/>
      <c r="M33" s="19">
        <f>SUM('Model'!C9:F10)/4</f>
        <v>6.13604</v>
      </c>
      <c r="N33" s="24"/>
      <c r="O33" s="19">
        <f>'Model'!F33</f>
        <v>-3207.35584</v>
      </c>
      <c r="P33" s="19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7" customWidth="1"/>
    <col min="2" max="2" width="7.64062" style="37" customWidth="1"/>
    <col min="3" max="11" width="9.38281" style="37" customWidth="1"/>
    <col min="12" max="16384" width="16.3516" style="37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54</v>
      </c>
      <c r="J3" t="s" s="5">
        <v>55</v>
      </c>
      <c r="K3" t="s" s="5">
        <v>35</v>
      </c>
    </row>
    <row r="4" ht="20.25" customHeight="1">
      <c r="B4" s="28">
        <v>2015</v>
      </c>
      <c r="C4" s="29">
        <v>53</v>
      </c>
      <c r="D4" s="31">
        <v>1543</v>
      </c>
      <c r="E4" s="31">
        <f>D4-C4</f>
        <v>1490</v>
      </c>
      <c r="F4" s="31">
        <v>211</v>
      </c>
      <c r="G4" s="31">
        <v>884</v>
      </c>
      <c r="H4" s="31">
        <v>659</v>
      </c>
      <c r="I4" s="31">
        <f>G4+H4-C4-E4</f>
        <v>0</v>
      </c>
      <c r="J4" s="31">
        <f>C4-G4</f>
        <v>-831</v>
      </c>
      <c r="K4" s="31"/>
    </row>
    <row r="5" ht="20.05" customHeight="1">
      <c r="B5" s="33"/>
      <c r="C5" s="18">
        <v>62</v>
      </c>
      <c r="D5" s="19">
        <v>1656</v>
      </c>
      <c r="E5" s="19">
        <f>D5-C5</f>
        <v>1594</v>
      </c>
      <c r="F5" s="19">
        <v>226</v>
      </c>
      <c r="G5" s="19">
        <v>1026</v>
      </c>
      <c r="H5" s="19">
        <v>630</v>
      </c>
      <c r="I5" s="19">
        <f>G5+H5-C5-E5</f>
        <v>0</v>
      </c>
      <c r="J5" s="19">
        <f>C5-G5</f>
        <v>-964</v>
      </c>
      <c r="K5" s="19"/>
    </row>
    <row r="6" ht="20.05" customHeight="1">
      <c r="B6" s="33"/>
      <c r="C6" s="18">
        <v>68</v>
      </c>
      <c r="D6" s="19">
        <v>1732</v>
      </c>
      <c r="E6" s="19">
        <f>D6-C6</f>
        <v>1664</v>
      </c>
      <c r="F6" s="19">
        <v>243</v>
      </c>
      <c r="G6" s="19">
        <v>1092</v>
      </c>
      <c r="H6" s="19">
        <v>640</v>
      </c>
      <c r="I6" s="19">
        <f>G6+H6-C6-E6</f>
        <v>0</v>
      </c>
      <c r="J6" s="19">
        <f>C6-G6</f>
        <v>-1024</v>
      </c>
      <c r="K6" s="19"/>
    </row>
    <row r="7" ht="20.05" customHeight="1">
      <c r="B7" s="33"/>
      <c r="C7" s="18">
        <v>61</v>
      </c>
      <c r="D7" s="19">
        <v>1929</v>
      </c>
      <c r="E7" s="19">
        <f>D7-C7</f>
        <v>1868</v>
      </c>
      <c r="F7" s="19">
        <v>243</v>
      </c>
      <c r="G7" s="19">
        <v>1264</v>
      </c>
      <c r="H7" s="19">
        <v>665</v>
      </c>
      <c r="I7" s="19">
        <f>G7+H7-C7-E7</f>
        <v>0</v>
      </c>
      <c r="J7" s="19">
        <f>C7-G7</f>
        <v>-1203</v>
      </c>
      <c r="K7" s="19"/>
    </row>
    <row r="8" ht="20.05" customHeight="1">
      <c r="B8" s="34">
        <v>2016</v>
      </c>
      <c r="C8" s="18">
        <v>63</v>
      </c>
      <c r="D8" s="19">
        <v>2182</v>
      </c>
      <c r="E8" s="19">
        <f>D8-C8</f>
        <v>2119</v>
      </c>
      <c r="F8" s="19">
        <v>256</v>
      </c>
      <c r="G8" s="19">
        <v>1498</v>
      </c>
      <c r="H8" s="19">
        <v>684</v>
      </c>
      <c r="I8" s="19">
        <f>G8+H8-C8-E8</f>
        <v>0</v>
      </c>
      <c r="J8" s="19">
        <f>C8-G8</f>
        <v>-1435</v>
      </c>
      <c r="K8" s="19"/>
    </row>
    <row r="9" ht="20.05" customHeight="1">
      <c r="B9" s="33"/>
      <c r="C9" s="18">
        <v>665</v>
      </c>
      <c r="D9" s="19">
        <v>2963</v>
      </c>
      <c r="E9" s="19">
        <f>D9-C9</f>
        <v>2298</v>
      </c>
      <c r="F9" s="19">
        <v>270</v>
      </c>
      <c r="G9" s="19">
        <v>1688</v>
      </c>
      <c r="H9" s="19">
        <v>1275</v>
      </c>
      <c r="I9" s="19">
        <f>G9+H9-C9-E9</f>
        <v>0</v>
      </c>
      <c r="J9" s="19">
        <f>C9-G9</f>
        <v>-1023</v>
      </c>
      <c r="K9" s="19"/>
    </row>
    <row r="10" ht="20.05" customHeight="1">
      <c r="B10" s="33"/>
      <c r="C10" s="18">
        <v>487</v>
      </c>
      <c r="D10" s="19">
        <v>2798</v>
      </c>
      <c r="E10" s="19">
        <f>D10-C10</f>
        <v>2311</v>
      </c>
      <c r="F10" s="19">
        <v>284</v>
      </c>
      <c r="G10" s="19">
        <v>1521</v>
      </c>
      <c r="H10" s="19">
        <v>1277</v>
      </c>
      <c r="I10" s="19">
        <f>G10+H10-C10-E10</f>
        <v>0</v>
      </c>
      <c r="J10" s="19">
        <f>C10-G10</f>
        <v>-1034</v>
      </c>
      <c r="K10" s="19"/>
    </row>
    <row r="11" ht="20.05" customHeight="1">
      <c r="B11" s="33"/>
      <c r="C11" s="18">
        <v>139</v>
      </c>
      <c r="D11" s="19">
        <v>2503</v>
      </c>
      <c r="E11" s="19">
        <f>D11-C11</f>
        <v>2364</v>
      </c>
      <c r="F11" s="19">
        <v>301</v>
      </c>
      <c r="G11" s="19">
        <v>1202</v>
      </c>
      <c r="H11" s="19">
        <v>1301</v>
      </c>
      <c r="I11" s="19">
        <f>G11+H11-C11-E11</f>
        <v>0</v>
      </c>
      <c r="J11" s="19">
        <f>C11-G11</f>
        <v>-1063</v>
      </c>
      <c r="K11" s="19"/>
    </row>
    <row r="12" ht="20.05" customHeight="1">
      <c r="B12" s="34">
        <v>2017</v>
      </c>
      <c r="C12" s="18">
        <v>178</v>
      </c>
      <c r="D12" s="19">
        <v>2798</v>
      </c>
      <c r="E12" s="19">
        <f>D12-C12</f>
        <v>2620</v>
      </c>
      <c r="F12" s="19">
        <v>318</v>
      </c>
      <c r="G12" s="19">
        <v>1466</v>
      </c>
      <c r="H12" s="19">
        <v>1332</v>
      </c>
      <c r="I12" s="19">
        <f>G12+H12-C12-E12</f>
        <v>0</v>
      </c>
      <c r="J12" s="19">
        <f>C12-G12</f>
        <v>-1288</v>
      </c>
      <c r="K12" s="19"/>
    </row>
    <row r="13" ht="20.05" customHeight="1">
      <c r="B13" s="33"/>
      <c r="C13" s="18">
        <v>119</v>
      </c>
      <c r="D13" s="19">
        <v>3252</v>
      </c>
      <c r="E13" s="19">
        <f>D13-C13</f>
        <v>3133</v>
      </c>
      <c r="F13" s="19">
        <v>337</v>
      </c>
      <c r="G13" s="19">
        <v>1906</v>
      </c>
      <c r="H13" s="19">
        <v>1346</v>
      </c>
      <c r="I13" s="19">
        <f>G13+H13-C13-E13</f>
        <v>0</v>
      </c>
      <c r="J13" s="19">
        <f>C13-G13</f>
        <v>-1787</v>
      </c>
      <c r="K13" s="19"/>
    </row>
    <row r="14" ht="20.05" customHeight="1">
      <c r="B14" s="33"/>
      <c r="C14" s="18">
        <v>326</v>
      </c>
      <c r="D14" s="19">
        <v>4739</v>
      </c>
      <c r="E14" s="19">
        <f>D14-C14</f>
        <v>4413</v>
      </c>
      <c r="F14" s="19">
        <v>350</v>
      </c>
      <c r="G14" s="19">
        <v>3342</v>
      </c>
      <c r="H14" s="19">
        <v>1397</v>
      </c>
      <c r="I14" s="19">
        <f>G14+H14-C14-E14</f>
        <v>0</v>
      </c>
      <c r="J14" s="19">
        <f>C14-G14</f>
        <v>-3016</v>
      </c>
      <c r="K14" s="19"/>
    </row>
    <row r="15" ht="20.05" customHeight="1">
      <c r="B15" s="33"/>
      <c r="C15" s="18">
        <v>215</v>
      </c>
      <c r="D15" s="19">
        <v>5307</v>
      </c>
      <c r="E15" s="19">
        <f>D15-C15</f>
        <v>5092</v>
      </c>
      <c r="F15" s="19">
        <v>372</v>
      </c>
      <c r="G15" s="19">
        <v>3870</v>
      </c>
      <c r="H15" s="19">
        <v>1437</v>
      </c>
      <c r="I15" s="19">
        <f>G15+H15-C15-E15</f>
        <v>0</v>
      </c>
      <c r="J15" s="19">
        <f>C15-G15</f>
        <v>-3655</v>
      </c>
      <c r="K15" s="19"/>
    </row>
    <row r="16" ht="20.05" customHeight="1">
      <c r="B16" s="34">
        <v>2018</v>
      </c>
      <c r="C16" s="18">
        <v>174</v>
      </c>
      <c r="D16" s="19">
        <v>6235</v>
      </c>
      <c r="E16" s="19">
        <f>D16-C16</f>
        <v>6061</v>
      </c>
      <c r="F16" s="19">
        <v>409</v>
      </c>
      <c r="G16" s="19">
        <v>4759</v>
      </c>
      <c r="H16" s="19">
        <v>1476</v>
      </c>
      <c r="I16" s="19">
        <f>G16+H16-C16-E16</f>
        <v>0</v>
      </c>
      <c r="J16" s="19">
        <f>C16-G16</f>
        <v>-4585</v>
      </c>
      <c r="K16" s="19"/>
    </row>
    <row r="17" ht="20.05" customHeight="1">
      <c r="B17" s="33"/>
      <c r="C17" s="18">
        <v>148</v>
      </c>
      <c r="D17" s="19">
        <v>7063</v>
      </c>
      <c r="E17" s="19">
        <f>D17-C17</f>
        <v>6915</v>
      </c>
      <c r="F17" s="19">
        <v>449</v>
      </c>
      <c r="G17" s="19">
        <v>5570</v>
      </c>
      <c r="H17" s="19">
        <v>1493</v>
      </c>
      <c r="I17" s="19">
        <f>G17+H17-C17-E17</f>
        <v>0</v>
      </c>
      <c r="J17" s="19">
        <f>C17-G17</f>
        <v>-5422</v>
      </c>
      <c r="K17" s="19"/>
    </row>
    <row r="18" ht="20.05" customHeight="1">
      <c r="B18" s="33"/>
      <c r="C18" s="18">
        <v>170</v>
      </c>
      <c r="D18" s="19">
        <v>7853</v>
      </c>
      <c r="E18" s="19">
        <f>D18-C18</f>
        <v>7683</v>
      </c>
      <c r="F18" s="19">
        <v>479</v>
      </c>
      <c r="G18" s="19">
        <v>6341</v>
      </c>
      <c r="H18" s="19">
        <v>1512</v>
      </c>
      <c r="I18" s="19">
        <f>G18+H18-C18-E18</f>
        <v>0</v>
      </c>
      <c r="J18" s="19">
        <f>C18-G18</f>
        <v>-6171</v>
      </c>
      <c r="K18" s="19"/>
    </row>
    <row r="19" ht="20.05" customHeight="1">
      <c r="B19" s="33"/>
      <c r="C19" s="18">
        <v>223</v>
      </c>
      <c r="D19" s="19">
        <v>8936</v>
      </c>
      <c r="E19" s="19">
        <f>D19-C19</f>
        <v>8713</v>
      </c>
      <c r="F19" s="19">
        <v>506</v>
      </c>
      <c r="G19" s="19">
        <v>7510</v>
      </c>
      <c r="H19" s="19">
        <v>1426</v>
      </c>
      <c r="I19" s="19">
        <f>G19+H19-C19-E19</f>
        <v>0</v>
      </c>
      <c r="J19" s="19">
        <f>C19-G19</f>
        <v>-7287</v>
      </c>
      <c r="K19" s="19"/>
    </row>
    <row r="20" ht="20.05" customHeight="1">
      <c r="B20" s="34">
        <v>2019</v>
      </c>
      <c r="C20" s="18">
        <v>157</v>
      </c>
      <c r="D20" s="19">
        <v>9691</v>
      </c>
      <c r="E20" s="19">
        <f>D20-C20</f>
        <v>9534</v>
      </c>
      <c r="F20" s="19">
        <v>530</v>
      </c>
      <c r="G20" s="19">
        <v>8354</v>
      </c>
      <c r="H20" s="19">
        <v>1337</v>
      </c>
      <c r="I20" s="19">
        <f>G20+H20-C20-E20</f>
        <v>0</v>
      </c>
      <c r="J20" s="19">
        <f>C20-G20</f>
        <v>-8197</v>
      </c>
      <c r="K20" s="19"/>
    </row>
    <row r="21" ht="20.05" customHeight="1">
      <c r="B21" s="33"/>
      <c r="C21" s="18">
        <v>156</v>
      </c>
      <c r="D21" s="19">
        <v>10753</v>
      </c>
      <c r="E21" s="19">
        <f>D21-C21</f>
        <v>10597</v>
      </c>
      <c r="F21" s="19">
        <v>549</v>
      </c>
      <c r="G21" s="19">
        <v>9733</v>
      </c>
      <c r="H21" s="19">
        <v>1020</v>
      </c>
      <c r="I21" s="19">
        <f>G21+H21-C21-E21</f>
        <v>0</v>
      </c>
      <c r="J21" s="19">
        <f>C21-G21</f>
        <v>-9577</v>
      </c>
      <c r="K21" s="19"/>
    </row>
    <row r="22" ht="20.05" customHeight="1">
      <c r="B22" s="33"/>
      <c r="C22" s="18">
        <v>206</v>
      </c>
      <c r="D22" s="19">
        <v>10129</v>
      </c>
      <c r="E22" s="19">
        <f>D22-C22</f>
        <v>9923</v>
      </c>
      <c r="F22" s="19">
        <v>577</v>
      </c>
      <c r="G22" s="19">
        <v>9456</v>
      </c>
      <c r="H22" s="19">
        <v>673</v>
      </c>
      <c r="I22" s="19">
        <f>G22+H22-C22-E22</f>
        <v>0</v>
      </c>
      <c r="J22" s="19">
        <f>C22-G22</f>
        <v>-9250</v>
      </c>
      <c r="K22" s="38"/>
    </row>
    <row r="23" ht="20.05" customHeight="1">
      <c r="B23" s="33"/>
      <c r="C23" s="18">
        <v>182</v>
      </c>
      <c r="D23" s="19">
        <v>10447</v>
      </c>
      <c r="E23" s="19">
        <f>D23-C23</f>
        <v>10265</v>
      </c>
      <c r="F23" s="19">
        <f>615</f>
        <v>615</v>
      </c>
      <c r="G23" s="19">
        <v>10160</v>
      </c>
      <c r="H23" s="19">
        <v>287</v>
      </c>
      <c r="I23" s="19">
        <f>G23+H23-C23-E23</f>
        <v>0</v>
      </c>
      <c r="J23" s="19">
        <f>C23-G23</f>
        <v>-9978</v>
      </c>
      <c r="K23" s="38"/>
    </row>
    <row r="24" ht="20.05" customHeight="1">
      <c r="B24" s="34">
        <v>2020</v>
      </c>
      <c r="C24" s="18">
        <v>475</v>
      </c>
      <c r="D24" s="19">
        <v>4695</v>
      </c>
      <c r="E24" s="19">
        <f>D24-C24</f>
        <v>4220</v>
      </c>
      <c r="F24" s="19">
        <v>648</v>
      </c>
      <c r="G24" s="19">
        <v>4529</v>
      </c>
      <c r="H24" s="19">
        <v>166</v>
      </c>
      <c r="I24" s="19">
        <f>G24+H24-C24-E24</f>
        <v>0</v>
      </c>
      <c r="J24" s="19">
        <f>C24-G24</f>
        <v>-4054</v>
      </c>
      <c r="K24" s="38"/>
    </row>
    <row r="25" ht="20.05" customHeight="1">
      <c r="B25" s="33"/>
      <c r="C25" s="18">
        <v>234</v>
      </c>
      <c r="D25" s="19">
        <v>4165</v>
      </c>
      <c r="E25" s="19">
        <f>D25-C25</f>
        <v>3931</v>
      </c>
      <c r="F25" s="19">
        <v>683</v>
      </c>
      <c r="G25" s="19">
        <v>4129</v>
      </c>
      <c r="H25" s="19">
        <v>36</v>
      </c>
      <c r="I25" s="19">
        <f>G25+H25-C25-E25</f>
        <v>0</v>
      </c>
      <c r="J25" s="19">
        <f>C25-G25</f>
        <v>-3895</v>
      </c>
      <c r="K25" s="23"/>
    </row>
    <row r="26" ht="20.05" customHeight="1">
      <c r="B26" s="33"/>
      <c r="C26" s="22">
        <v>63</v>
      </c>
      <c r="D26" s="19">
        <v>3798</v>
      </c>
      <c r="E26" s="19">
        <f>D26-C26</f>
        <v>3735</v>
      </c>
      <c r="F26" s="23">
        <v>702</v>
      </c>
      <c r="G26" s="19">
        <v>2768</v>
      </c>
      <c r="H26" s="19">
        <v>1030</v>
      </c>
      <c r="I26" s="19">
        <f>G26+H26-C26-E26</f>
        <v>0</v>
      </c>
      <c r="J26" s="19">
        <f>C26-G26</f>
        <v>-2705</v>
      </c>
      <c r="K26" s="19"/>
    </row>
    <row r="27" ht="20.05" customHeight="1">
      <c r="B27" s="33"/>
      <c r="C27" s="22">
        <v>73</v>
      </c>
      <c r="D27" s="19">
        <v>3055</v>
      </c>
      <c r="E27" s="19">
        <f>D27-C27</f>
        <v>2982</v>
      </c>
      <c r="F27" s="23">
        <v>749</v>
      </c>
      <c r="G27" s="19">
        <v>2731</v>
      </c>
      <c r="H27" s="19">
        <v>324</v>
      </c>
      <c r="I27" s="19">
        <f>G27+H27-C27-E27</f>
        <v>0</v>
      </c>
      <c r="J27" s="19">
        <f>C27-G27</f>
        <v>-2658</v>
      </c>
      <c r="K27" s="23"/>
    </row>
    <row r="28" ht="20.05" customHeight="1">
      <c r="B28" s="34">
        <v>2021</v>
      </c>
      <c r="C28" s="18">
        <v>90.3</v>
      </c>
      <c r="D28" s="19">
        <v>3072</v>
      </c>
      <c r="E28" s="19">
        <f>D28-C28</f>
        <v>2981.7</v>
      </c>
      <c r="F28" s="19">
        <v>780</v>
      </c>
      <c r="G28" s="19">
        <v>2828</v>
      </c>
      <c r="H28" s="19">
        <v>244</v>
      </c>
      <c r="I28" s="19">
        <f>G28+H28-C28-E28</f>
        <v>0</v>
      </c>
      <c r="J28" s="19">
        <f>C28-G28</f>
        <v>-2737.7</v>
      </c>
      <c r="K28" s="19"/>
    </row>
    <row r="29" ht="20.05" customHeight="1">
      <c r="B29" s="33"/>
      <c r="C29" s="18">
        <v>99</v>
      </c>
      <c r="D29" s="19">
        <v>2922</v>
      </c>
      <c r="E29" s="19">
        <f>D29-C29</f>
        <v>2823</v>
      </c>
      <c r="F29" s="19">
        <f>745</f>
        <v>745</v>
      </c>
      <c r="G29" s="19">
        <f>2753</f>
        <v>2753</v>
      </c>
      <c r="H29" s="19">
        <v>169</v>
      </c>
      <c r="I29" s="19">
        <f>G29+H29-C29-E29</f>
        <v>0</v>
      </c>
      <c r="J29" s="19">
        <f>C29-G29</f>
        <v>-2654</v>
      </c>
      <c r="K29" s="23"/>
    </row>
    <row r="30" ht="20.05" customHeight="1">
      <c r="B30" s="33"/>
      <c r="C30" s="18">
        <v>315</v>
      </c>
      <c r="D30" s="19">
        <v>3022</v>
      </c>
      <c r="E30" s="19">
        <f>D30-C30</f>
        <v>2707</v>
      </c>
      <c r="F30" s="19">
        <v>775</v>
      </c>
      <c r="G30" s="19">
        <v>1608</v>
      </c>
      <c r="H30" s="19">
        <v>1414</v>
      </c>
      <c r="I30" s="19">
        <f>G30+H30-C30-E30</f>
        <v>0</v>
      </c>
      <c r="J30" s="19">
        <f>C30-G30</f>
        <v>-1293</v>
      </c>
      <c r="K30" s="23"/>
    </row>
    <row r="31" ht="20.05" customHeight="1">
      <c r="B31" s="33"/>
      <c r="C31" s="18">
        <v>472</v>
      </c>
      <c r="D31" s="19">
        <v>2479</v>
      </c>
      <c r="E31" s="19">
        <f>D31-C31</f>
        <v>2007</v>
      </c>
      <c r="F31" s="19">
        <v>804</v>
      </c>
      <c r="G31" s="19">
        <v>1363</v>
      </c>
      <c r="H31" s="19">
        <v>1116</v>
      </c>
      <c r="I31" s="19">
        <f>G31+H31-C31-E31</f>
        <v>0</v>
      </c>
      <c r="J31" s="19">
        <f>C31-G31</f>
        <v>-891</v>
      </c>
      <c r="K31" s="24"/>
    </row>
    <row r="32" ht="20.05" customHeight="1">
      <c r="B32" s="34">
        <v>2022</v>
      </c>
      <c r="C32" s="18">
        <f>C31+'Cashflow '!D32+'Cashflow '!E32+'Cashflow '!J32</f>
        <v>313.6</v>
      </c>
      <c r="D32" s="19">
        <v>2261</v>
      </c>
      <c r="E32" s="19">
        <f>D32-C32</f>
        <v>1947.4</v>
      </c>
      <c r="F32" s="19">
        <f>F31+'Sales'!E32</f>
        <v>833</v>
      </c>
      <c r="G32" s="19">
        <v>1170</v>
      </c>
      <c r="H32" s="19">
        <f>D32-G32</f>
        <v>1091</v>
      </c>
      <c r="I32" s="19">
        <f>G32+H32-C32-E32</f>
        <v>0</v>
      </c>
      <c r="J32" s="19">
        <f>C32-G32</f>
        <v>-856.4</v>
      </c>
      <c r="K32" s="23">
        <f>J32</f>
        <v>-856.4</v>
      </c>
    </row>
    <row r="33" ht="20.05" customHeight="1">
      <c r="B33" s="33"/>
      <c r="C33" s="18"/>
      <c r="D33" s="19"/>
      <c r="E33" s="19">
        <f>D33-C33</f>
        <v>0</v>
      </c>
      <c r="F33" s="19"/>
      <c r="G33" s="19"/>
      <c r="H33" s="19"/>
      <c r="I33" s="19"/>
      <c r="J33" s="19"/>
      <c r="K33" s="19">
        <f>'Model'!F31</f>
        <v>-831.8558399999999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9" customWidth="1"/>
    <col min="2" max="2" width="8.35156" style="39" customWidth="1"/>
    <col min="3" max="5" width="11.0547" style="39" customWidth="1"/>
    <col min="6" max="16384" width="16.3516" style="39" customWidth="1"/>
  </cols>
  <sheetData>
    <row r="1" ht="31.85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">
        <v>57</v>
      </c>
      <c r="D3" t="s" s="3">
        <v>58</v>
      </c>
      <c r="E3" t="s" s="3">
        <v>59</v>
      </c>
    </row>
    <row r="4" ht="20.25" customHeight="1">
      <c r="B4" s="28">
        <v>2018</v>
      </c>
      <c r="C4" s="40">
        <v>2890</v>
      </c>
      <c r="D4" s="31"/>
      <c r="E4" s="31"/>
    </row>
    <row r="5" ht="20.05" customHeight="1">
      <c r="B5" s="33"/>
      <c r="C5" s="41">
        <v>2390</v>
      </c>
      <c r="D5" s="19"/>
      <c r="E5" s="19"/>
    </row>
    <row r="6" ht="20.05" customHeight="1">
      <c r="B6" s="33"/>
      <c r="C6" s="41">
        <v>1845</v>
      </c>
      <c r="D6" s="19"/>
      <c r="E6" s="19"/>
    </row>
    <row r="7" ht="20.05" customHeight="1">
      <c r="B7" s="33"/>
      <c r="C7" s="41">
        <v>1555</v>
      </c>
      <c r="D7" s="19"/>
      <c r="E7" s="19"/>
    </row>
    <row r="8" ht="20.05" customHeight="1">
      <c r="B8" s="34">
        <v>2019</v>
      </c>
      <c r="C8" s="41">
        <v>1575</v>
      </c>
      <c r="D8" s="19"/>
      <c r="E8" s="19"/>
    </row>
    <row r="9" ht="20.05" customHeight="1">
      <c r="B9" s="33"/>
      <c r="C9" s="41">
        <v>1390</v>
      </c>
      <c r="D9" s="19"/>
      <c r="E9" s="19"/>
    </row>
    <row r="10" ht="20.05" customHeight="1">
      <c r="B10" s="33"/>
      <c r="C10" s="41">
        <v>1055</v>
      </c>
      <c r="D10" s="19"/>
      <c r="E10" s="19"/>
    </row>
    <row r="11" ht="20.05" customHeight="1">
      <c r="B11" s="33"/>
      <c r="C11" s="42">
        <v>970</v>
      </c>
      <c r="D11" s="24"/>
      <c r="E11" s="24"/>
    </row>
    <row r="12" ht="20.05" customHeight="1">
      <c r="B12" s="34">
        <v>2020</v>
      </c>
      <c r="C12" s="42">
        <v>232</v>
      </c>
      <c r="D12" s="24"/>
      <c r="E12" s="24"/>
    </row>
    <row r="13" ht="20.05" customHeight="1">
      <c r="B13" s="33"/>
      <c r="C13" s="43">
        <v>348</v>
      </c>
      <c r="D13" s="24"/>
      <c r="E13" s="19">
        <v>702.487391866722</v>
      </c>
    </row>
    <row r="14" ht="20.05" customHeight="1">
      <c r="B14" s="33"/>
      <c r="C14" s="18">
        <v>258</v>
      </c>
      <c r="D14" s="24"/>
      <c r="E14" s="19">
        <v>1639.347290640390</v>
      </c>
    </row>
    <row r="15" ht="20.05" customHeight="1">
      <c r="B15" s="33"/>
      <c r="C15" s="18">
        <v>440</v>
      </c>
      <c r="D15" s="24"/>
      <c r="E15" s="19">
        <v>1639.347290640390</v>
      </c>
    </row>
    <row r="16" ht="20.05" customHeight="1">
      <c r="B16" s="34">
        <v>2021</v>
      </c>
      <c r="C16" s="18">
        <v>306</v>
      </c>
      <c r="D16" s="24"/>
      <c r="E16" s="19">
        <v>564.285714285714</v>
      </c>
    </row>
    <row r="17" ht="20.05" customHeight="1">
      <c r="B17" s="33"/>
      <c r="C17" s="18">
        <v>206</v>
      </c>
      <c r="D17" s="24"/>
      <c r="E17" s="19">
        <v>564.285714285714</v>
      </c>
    </row>
    <row r="18" ht="20.05" customHeight="1">
      <c r="B18" s="33"/>
      <c r="C18" s="18">
        <v>254</v>
      </c>
      <c r="D18" s="24"/>
      <c r="E18" s="19">
        <v>363.321171133505</v>
      </c>
    </row>
    <row r="19" ht="20.05" customHeight="1">
      <c r="B19" s="33"/>
      <c r="C19" s="18">
        <v>210</v>
      </c>
      <c r="D19" s="24"/>
      <c r="E19" s="19">
        <v>363.321171133505</v>
      </c>
    </row>
    <row r="20" ht="20.05" customHeight="1">
      <c r="B20" s="34">
        <v>2022</v>
      </c>
      <c r="C20" s="18">
        <v>193</v>
      </c>
      <c r="D20" s="24"/>
      <c r="E20" s="19">
        <v>363.321171133505</v>
      </c>
    </row>
    <row r="21" ht="20.05" customHeight="1">
      <c r="B21" s="33"/>
      <c r="C21" s="18">
        <v>174</v>
      </c>
      <c r="D21" s="19">
        <f>C21</f>
        <v>174</v>
      </c>
      <c r="E21" s="19">
        <v>224.285060376227</v>
      </c>
    </row>
    <row r="22" ht="20.05" customHeight="1">
      <c r="B22" s="33"/>
      <c r="C22" s="18"/>
      <c r="D22" s="23">
        <f>'Model'!F45</f>
        <v>144.964308255491</v>
      </c>
      <c r="E22" s="2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