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<sst xmlns="http://schemas.openxmlformats.org/spreadsheetml/2006/main" uniqueCount="60">
  <si>
    <t>Financial model</t>
  </si>
  <si>
    <t>$m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</si>
  <si>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</si>
  <si>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</si>
  <si>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</si>
  <si>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</si>
  <si>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</si>
  <si>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</si>
  <si>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</si>
  <si>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</si>
  <si>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</si>
  <si>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</si>
  <si>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</si>
  <si>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</si>
  <si>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</si>
  <si>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</si>
  <si>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</si>
  <si>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</si>
  <si>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</si>
  <si>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</si>
  <si>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</si>
  <si>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</si>
  <si>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</si>
  <si>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</si>
  <si>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</si>
  <si>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</si>
  <si>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</si>
  <si>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</si>
  <si>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</si>
  <si>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</si>
  <si>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</si>
  <si>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</si>
  <si>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</si>
  <si>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</si>
  <si>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Cashflow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</si>
  <si>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</si>
  <si>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</si>
  <si>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</si>
  <si>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</si>
  <si>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</si>
  <si>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</si>
  <si>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</si>
  <si>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</si>
  <si>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 </t>
  </si>
  <si>
    <t>Profit quarterly</t>
  </si>
  <si>
    <t xml:space="preserve">Sales growth </t>
  </si>
  <si>
    <t xml:space="preserve">Cost ratio </t>
  </si>
  <si>
    <t>Cash Flow quarterly</t>
  </si>
  <si>
    <t>Net income</t>
  </si>
  <si>
    <t xml:space="preserve">Working capital </t>
  </si>
  <si>
    <t xml:space="preserve">Operating </t>
  </si>
  <si>
    <t xml:space="preserve">Investment </t>
  </si>
  <si>
    <t xml:space="preserve">Free cashflow </t>
  </si>
  <si>
    <t>Cash</t>
  </si>
  <si>
    <t>Assets</t>
  </si>
  <si>
    <t>Net cash</t>
  </si>
  <si>
    <t>Share price</t>
  </si>
  <si>
    <t>AAPL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</si>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</sst>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493335</xdr:colOff>
      <xdr:row>2</xdr:row>
      <xdr:rowOff>60688</xdr:rowOff>
    </xdr:from>
    <xdr:to>
      <xdr:col>13</xdr:col>
      <xdr:colOff>669831</xdr:colOff>
      <xdr:row>48</xdr:row>
      <xdr:rowOff>182749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78035" y="729343"/>
          <a:ext cx="8888697" cy="118403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6.2734" style="1" customWidth="1"/>
    <col min="3" max="6" width="9.3125" style="1" customWidth="1"/>
    <col min="7" max="16384" width="16.3516" style="1" customWidth="1"/>
  </cols>
  <sheetData>
    <row r="1" ht="2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AVERAGE('Sales'!E29:E32)</f>
        <v>0.011117400956262</v>
      </c>
      <c r="D4" s="8"/>
      <c r="E4" s="8"/>
      <c r="F4" s="9">
        <f>AVERAGE(C5:F5)</f>
        <v>0.06</v>
      </c>
    </row>
    <row r="5" ht="20.05" customHeight="1">
      <c r="B5" t="s" s="10">
        <v>4</v>
      </c>
      <c r="C5" s="11">
        <v>0.05</v>
      </c>
      <c r="D5" s="12">
        <v>0.04</v>
      </c>
      <c r="E5" s="12">
        <v>0.4</v>
      </c>
      <c r="F5" s="12">
        <v>-0.25</v>
      </c>
    </row>
    <row r="6" ht="20.05" customHeight="1">
      <c r="B6" t="s" s="10">
        <v>5</v>
      </c>
      <c r="C6" s="13">
        <f>'Sales'!C32*(1+C5)</f>
        <v>81329.850000000006</v>
      </c>
      <c r="D6" s="14">
        <f>C6*(1+D5)</f>
        <v>84583.043999999994</v>
      </c>
      <c r="E6" s="14">
        <f>D6*(1+E5)</f>
        <v>118416.2616</v>
      </c>
      <c r="F6" s="14">
        <f>E6*(1+F5)</f>
        <v>88812.196200000006</v>
      </c>
    </row>
    <row r="7" ht="20.05" customHeight="1">
      <c r="B7" t="s" s="10">
        <v>6</v>
      </c>
      <c r="C7" s="11">
        <f>AVERAGE('Sales'!G32)</f>
        <v>-0.6757714991554939</v>
      </c>
      <c r="D7" s="12">
        <f>'Sales'!F25</f>
        <v>-0.720180949987434</v>
      </c>
      <c r="E7" s="12">
        <f>'Sales'!F22</f>
        <v>-0.713241723922548</v>
      </c>
      <c r="F7" s="12">
        <f>'Sales'!F27</f>
        <v>-0.700392142786637</v>
      </c>
    </row>
    <row r="8" ht="20.05" customHeight="1">
      <c r="B8" t="s" s="10">
        <v>7</v>
      </c>
      <c r="C8" s="15">
        <f>C7*C6</f>
        <v>-54960.3946605915</v>
      </c>
      <c r="D8" s="16">
        <f>D7*D6</f>
        <v>-60915.0969807489</v>
      </c>
      <c r="E8" s="16">
        <f>E7*E6</f>
        <v>-84459.4185640474</v>
      </c>
      <c r="F8" s="16">
        <f>F7*F6</f>
        <v>-62203.3644021052</v>
      </c>
    </row>
    <row r="9" ht="20.05" customHeight="1">
      <c r="B9" t="s" s="10">
        <v>8</v>
      </c>
      <c r="C9" s="15">
        <f>C6+C8</f>
        <v>26369.4553394085</v>
      </c>
      <c r="D9" s="16">
        <f>D6+D8</f>
        <v>23667.9470192511</v>
      </c>
      <c r="E9" s="16">
        <f>E6+E8</f>
        <v>33956.8430359526</v>
      </c>
      <c r="F9" s="16">
        <f>F6+F8</f>
        <v>26608.8317978948</v>
      </c>
    </row>
    <row r="10" ht="20.05" customHeight="1">
      <c r="B10" t="s" s="10">
        <v>9</v>
      </c>
      <c r="C10" s="15">
        <f>AVERAGE('Cashflow '!G25:G32)</f>
        <v>-4943.75</v>
      </c>
      <c r="D10" s="16">
        <f>C10</f>
        <v>-4943.75</v>
      </c>
      <c r="E10" s="16">
        <f>D10</f>
        <v>-4943.75</v>
      </c>
      <c r="F10" s="16">
        <f>E10</f>
        <v>-4943.75</v>
      </c>
    </row>
    <row r="11" ht="20.05" customHeight="1">
      <c r="B11" t="s" s="10">
        <v>10</v>
      </c>
      <c r="C11" s="15">
        <f>C12+C15+C13</f>
        <v>-21425.7053394085</v>
      </c>
      <c r="D11" s="16">
        <f>D12+D15+D13</f>
        <v>-18724.1970192511</v>
      </c>
      <c r="E11" s="16">
        <f>E12+E15+E13</f>
        <v>-29013.0930359526</v>
      </c>
      <c r="F11" s="16">
        <f>F12+F15+F13</f>
        <v>-21665.0817978948</v>
      </c>
    </row>
    <row r="12" ht="20.05" customHeight="1">
      <c r="B12" t="s" s="10">
        <v>11</v>
      </c>
      <c r="C12" s="15">
        <f>-('Balance sheet'!G32)/20</f>
        <v>-14163.15</v>
      </c>
      <c r="D12" s="16">
        <f>-C27/20</f>
        <v>-13454.9925</v>
      </c>
      <c r="E12" s="16">
        <f>-D27/20</f>
        <v>-12782.242875</v>
      </c>
      <c r="F12" s="16">
        <f>-E27/20</f>
        <v>-12143.13073125</v>
      </c>
    </row>
    <row r="13" ht="20.05" customHeight="1">
      <c r="B13" t="s" s="10">
        <v>12</v>
      </c>
      <c r="C13" s="15">
        <f>-MIN(0,C17,C17,C16)</f>
        <v>9666.608932118301</v>
      </c>
      <c r="D13" s="16">
        <f>-MIN(C28,D16)</f>
        <v>9498.7530961498</v>
      </c>
      <c r="E13" s="16">
        <f>-MIN(D28,E16)</f>
        <v>6768.2242678095</v>
      </c>
      <c r="F13" s="16">
        <f>-MIN(E28,F16)</f>
        <v>7598.714371671</v>
      </c>
    </row>
    <row r="14" ht="20.05" customHeight="1">
      <c r="B14" t="s" s="10">
        <v>13</v>
      </c>
      <c r="C14" s="17">
        <v>0.8</v>
      </c>
      <c r="D14" s="16"/>
      <c r="E14" s="16"/>
      <c r="F14" s="16"/>
    </row>
    <row r="15" ht="20.05" customHeight="1">
      <c r="B15" t="s" s="10">
        <v>14</v>
      </c>
      <c r="C15" s="15">
        <f>IF(C22&gt;0,-C22*$C$14,0)</f>
        <v>-16929.1642715268</v>
      </c>
      <c r="D15" s="16">
        <f>IF(D22&gt;0,-D22*$C$14,0)</f>
        <v>-14767.9576154009</v>
      </c>
      <c r="E15" s="16">
        <f>IF(E22&gt;0,-E22*$C$14,0)</f>
        <v>-22999.0744287621</v>
      </c>
      <c r="F15" s="16">
        <f>IF(F22&gt;0,-F22*$C$14,0)</f>
        <v>-17120.6654383158</v>
      </c>
    </row>
    <row r="16" ht="20.05" customHeight="1">
      <c r="B16" t="s" s="10">
        <v>15</v>
      </c>
      <c r="C16" s="15">
        <f>C9+C10+C12+C15</f>
        <v>-9666.608932118301</v>
      </c>
      <c r="D16" s="16">
        <f>D9+D10+D12+D15</f>
        <v>-9498.7530961498</v>
      </c>
      <c r="E16" s="16">
        <f>E9+E10+E12+E15</f>
        <v>-6768.2242678095</v>
      </c>
      <c r="F16" s="16">
        <f>F9+F10+F12+F15</f>
        <v>-7598.714371671</v>
      </c>
    </row>
    <row r="17" ht="20.05" customHeight="1">
      <c r="B17" t="s" s="10">
        <v>16</v>
      </c>
      <c r="C17" s="15">
        <f>'Balance sheet'!C32</f>
        <v>27666</v>
      </c>
      <c r="D17" s="16">
        <f>C19</f>
        <v>27666</v>
      </c>
      <c r="E17" s="16">
        <f>D19</f>
        <v>27666</v>
      </c>
      <c r="F17" s="16">
        <f>E19</f>
        <v>27666</v>
      </c>
    </row>
    <row r="18" ht="20.05" customHeight="1">
      <c r="B18" t="s" s="10">
        <v>17</v>
      </c>
      <c r="C18" s="15">
        <f>C9+C10+C11</f>
        <v>0</v>
      </c>
      <c r="D18" s="16">
        <f>D9+D10+D11</f>
        <v>0</v>
      </c>
      <c r="E18" s="16">
        <f>E9+E10+E11</f>
        <v>0</v>
      </c>
      <c r="F18" s="16">
        <f>F9+F10+F11</f>
        <v>0</v>
      </c>
    </row>
    <row r="19" ht="20.05" customHeight="1">
      <c r="B19" t="s" s="10">
        <v>18</v>
      </c>
      <c r="C19" s="15">
        <f>C17+C18</f>
        <v>27666</v>
      </c>
      <c r="D19" s="16">
        <f>D17+D18</f>
        <v>27666</v>
      </c>
      <c r="E19" s="16">
        <f>E17+E18</f>
        <v>27666</v>
      </c>
      <c r="F19" s="16">
        <f>F17+F18</f>
        <v>27666</v>
      </c>
    </row>
    <row r="20" ht="20.05" customHeight="1">
      <c r="B20" t="s" s="18">
        <v>19</v>
      </c>
      <c r="C20" s="19"/>
      <c r="D20" s="20"/>
      <c r="E20" s="20"/>
      <c r="F20" s="21"/>
    </row>
    <row r="21" ht="20.05" customHeight="1">
      <c r="B21" t="s" s="10">
        <v>20</v>
      </c>
      <c r="C21" s="15">
        <f>-AVERAGE('Cashflow '!D32)</f>
        <v>-5208</v>
      </c>
      <c r="D21" s="16">
        <f>C21</f>
        <v>-5208</v>
      </c>
      <c r="E21" s="16">
        <f>D21</f>
        <v>-5208</v>
      </c>
      <c r="F21" s="16">
        <f>E21</f>
        <v>-5208</v>
      </c>
    </row>
    <row r="22" ht="20.05" customHeight="1">
      <c r="B22" t="s" s="10">
        <v>21</v>
      </c>
      <c r="C22" s="15">
        <f>C6+C8+C21</f>
        <v>21161.4553394085</v>
      </c>
      <c r="D22" s="16">
        <f>D6+D8+D21</f>
        <v>18459.9470192511</v>
      </c>
      <c r="E22" s="16">
        <f>E6+E8+E21</f>
        <v>28748.8430359526</v>
      </c>
      <c r="F22" s="16">
        <f>F6+F8+F21</f>
        <v>21400.8317978948</v>
      </c>
    </row>
    <row r="23" ht="20.05" customHeight="1">
      <c r="B23" t="s" s="18">
        <v>22</v>
      </c>
      <c r="C23" s="19"/>
      <c r="D23" s="20"/>
      <c r="E23" s="20"/>
      <c r="F23" s="16"/>
    </row>
    <row r="24" ht="20.05" customHeight="1">
      <c r="B24" t="s" s="10">
        <v>23</v>
      </c>
      <c r="C24" s="15">
        <f>'Balance sheet'!F32+'Balance sheet'!E32-C10</f>
        <v>427724.75</v>
      </c>
      <c r="D24" s="16">
        <f>C24-D10</f>
        <v>432668.5</v>
      </c>
      <c r="E24" s="16">
        <f>D24-E10</f>
        <v>437612.25</v>
      </c>
      <c r="F24" s="16">
        <f>E24-F10</f>
        <v>442556</v>
      </c>
    </row>
    <row r="25" ht="20.05" customHeight="1">
      <c r="B25" t="s" s="10">
        <v>24</v>
      </c>
      <c r="C25" s="15">
        <f>'Balance sheet'!F32-C21</f>
        <v>104993</v>
      </c>
      <c r="D25" s="16">
        <f>C25-D21</f>
        <v>110201</v>
      </c>
      <c r="E25" s="16">
        <f>D25-E21</f>
        <v>115409</v>
      </c>
      <c r="F25" s="16">
        <f>E25-F21</f>
        <v>120617</v>
      </c>
    </row>
    <row r="26" ht="20.05" customHeight="1">
      <c r="B26" t="s" s="10">
        <v>25</v>
      </c>
      <c r="C26" s="15">
        <f>C24-C25</f>
        <v>322731.75</v>
      </c>
      <c r="D26" s="16">
        <f>D24-D25</f>
        <v>322467.5</v>
      </c>
      <c r="E26" s="16">
        <f>E24-E25</f>
        <v>322203.25</v>
      </c>
      <c r="F26" s="16">
        <f>F24-F25</f>
        <v>321939</v>
      </c>
    </row>
    <row r="27" ht="20.05" customHeight="1">
      <c r="B27" t="s" s="10">
        <v>11</v>
      </c>
      <c r="C27" s="15">
        <f>'Balance sheet'!G32+C12</f>
        <v>269099.85</v>
      </c>
      <c r="D27" s="16">
        <f>C27+D12</f>
        <v>255644.8575</v>
      </c>
      <c r="E27" s="16">
        <f>D27+E12</f>
        <v>242862.614625</v>
      </c>
      <c r="F27" s="16">
        <f>E27+F12</f>
        <v>230719.48389375</v>
      </c>
    </row>
    <row r="28" ht="20.05" customHeight="1">
      <c r="B28" t="s" s="10">
        <v>12</v>
      </c>
      <c r="C28" s="15">
        <f>C13</f>
        <v>9666.608932118301</v>
      </c>
      <c r="D28" s="16">
        <f>C28+D13</f>
        <v>19165.3620282681</v>
      </c>
      <c r="E28" s="16">
        <f>D28+E13</f>
        <v>25933.5862960776</v>
      </c>
      <c r="F28" s="16">
        <f>E28+F13</f>
        <v>33532.3006677486</v>
      </c>
    </row>
    <row r="29" ht="20.05" customHeight="1">
      <c r="B29" t="s" s="10">
        <v>26</v>
      </c>
      <c r="C29" s="15">
        <f>'Balance sheet'!H32+C22+C15</f>
        <v>71631.2910678817</v>
      </c>
      <c r="D29" s="16">
        <f>C29+D22+D15</f>
        <v>75323.280471731894</v>
      </c>
      <c r="E29" s="16">
        <f>D29+E22+E15</f>
        <v>81073.0490789224</v>
      </c>
      <c r="F29" s="16">
        <f>E29+F22+F15</f>
        <v>85353.2154385014</v>
      </c>
    </row>
    <row r="30" ht="20.05" customHeight="1">
      <c r="B30" t="s" s="10">
        <v>27</v>
      </c>
      <c r="C30" s="15">
        <f>C27+C28+C29-C19-C26</f>
        <v>0</v>
      </c>
      <c r="D30" s="16">
        <f>D27+D28+D29-D19-D26</f>
        <v>0</v>
      </c>
      <c r="E30" s="16">
        <f>E27+E28+E29-E19-E26</f>
        <v>0</v>
      </c>
      <c r="F30" s="16">
        <f>F27+F28+F29-F19-F26</f>
        <v>0</v>
      </c>
    </row>
    <row r="31" ht="20.05" customHeight="1">
      <c r="B31" t="s" s="10">
        <v>28</v>
      </c>
      <c r="C31" s="15">
        <f>C19-C27-C28</f>
        <v>-251100.458932118</v>
      </c>
      <c r="D31" s="16">
        <f>D19-D27-D28</f>
        <v>-247144.219528268</v>
      </c>
      <c r="E31" s="16">
        <f>E19-E27-E28</f>
        <v>-241130.200921078</v>
      </c>
      <c r="F31" s="16">
        <f>F19-F27-F28</f>
        <v>-236585.784561499</v>
      </c>
    </row>
    <row r="32" ht="20.05" customHeight="1">
      <c r="B32" t="s" s="18">
        <v>29</v>
      </c>
      <c r="C32" s="15"/>
      <c r="D32" s="16"/>
      <c r="E32" s="16"/>
      <c r="F32" s="16"/>
    </row>
    <row r="33" ht="20.05" customHeight="1">
      <c r="B33" t="s" s="10">
        <v>30</v>
      </c>
      <c r="C33" s="15">
        <f>'Cashflow '!N32-C11</f>
        <v>482371.705339409</v>
      </c>
      <c r="D33" s="16">
        <f>C33-D11</f>
        <v>501095.90235866</v>
      </c>
      <c r="E33" s="16">
        <f>D33-E11</f>
        <v>530108.995394613</v>
      </c>
      <c r="F33" s="16">
        <f>E33-F11</f>
        <v>551774.077192508</v>
      </c>
    </row>
    <row r="34" ht="20.05" customHeight="1">
      <c r="B34" t="s" s="10">
        <v>31</v>
      </c>
      <c r="C34" s="15"/>
      <c r="D34" s="16"/>
      <c r="E34" s="16"/>
      <c r="F34" s="16">
        <v>2572753305600</v>
      </c>
    </row>
    <row r="35" ht="20.05" customHeight="1">
      <c r="B35" t="s" s="10">
        <v>31</v>
      </c>
      <c r="C35" s="15"/>
      <c r="D35" s="16"/>
      <c r="E35" s="16"/>
      <c r="F35" s="16">
        <f>F34/1000000</f>
        <v>2572753.3056</v>
      </c>
    </row>
    <row r="36" ht="20.05" customHeight="1">
      <c r="B36" t="s" s="10">
        <v>32</v>
      </c>
      <c r="C36" s="15"/>
      <c r="D36" s="16"/>
      <c r="E36" s="16"/>
      <c r="F36" s="22">
        <f>F35/(F19+F26)</f>
        <v>7.35902892006693</v>
      </c>
    </row>
    <row r="37" ht="20.05" customHeight="1">
      <c r="B37" t="s" s="10">
        <v>33</v>
      </c>
      <c r="C37" s="15"/>
      <c r="D37" s="16"/>
      <c r="E37" s="16"/>
      <c r="F37" s="23">
        <f>-(C15+D15+E15+F15)/F35</f>
        <v>0.0279143987873555</v>
      </c>
    </row>
    <row r="38" ht="20.05" customHeight="1">
      <c r="B38" t="s" s="10">
        <v>34</v>
      </c>
      <c r="C38" s="15"/>
      <c r="D38" s="16"/>
      <c r="E38" s="16"/>
      <c r="F38" s="16">
        <f>SUM(C9:F10)</f>
        <v>90828.077192507</v>
      </c>
    </row>
    <row r="39" ht="20.05" customHeight="1">
      <c r="B39" t="s" s="10">
        <v>35</v>
      </c>
      <c r="C39" s="15"/>
      <c r="D39" s="16"/>
      <c r="E39" s="16"/>
      <c r="F39" s="16">
        <f>'Balance sheet'!E32/F38</f>
        <v>3.55612504397094</v>
      </c>
    </row>
    <row r="40" ht="20.05" customHeight="1">
      <c r="B40" t="s" s="10">
        <v>29</v>
      </c>
      <c r="C40" s="15"/>
      <c r="D40" s="16"/>
      <c r="E40" s="16"/>
      <c r="F40" s="16">
        <f>F35/F38</f>
        <v>28.3255286814796</v>
      </c>
    </row>
    <row r="41" ht="20.05" customHeight="1">
      <c r="B41" t="s" s="10">
        <v>36</v>
      </c>
      <c r="C41" s="15"/>
      <c r="D41" s="16"/>
      <c r="E41" s="16"/>
      <c r="F41" s="16">
        <v>32</v>
      </c>
    </row>
    <row r="42" ht="20.05" customHeight="1">
      <c r="B42" t="s" s="10">
        <v>37</v>
      </c>
      <c r="C42" s="15"/>
      <c r="D42" s="16"/>
      <c r="E42" s="16"/>
      <c r="F42" s="16">
        <f>F38*F41</f>
        <v>2906498.47016022</v>
      </c>
    </row>
    <row r="43" ht="20.05" customHeight="1">
      <c r="B43" t="s" s="10">
        <v>38</v>
      </c>
      <c r="C43" s="15"/>
      <c r="D43" s="16"/>
      <c r="E43" s="16"/>
      <c r="F43" s="16">
        <f>F35/F45</f>
        <v>16319.3993377735</v>
      </c>
    </row>
    <row r="44" ht="20.05" customHeight="1">
      <c r="B44" t="s" s="10">
        <v>39</v>
      </c>
      <c r="C44" s="15"/>
      <c r="D44" s="16"/>
      <c r="E44" s="16"/>
      <c r="F44" s="16">
        <f>F42/F43</f>
        <v>178.100824056234</v>
      </c>
    </row>
    <row r="45" ht="20.05" customHeight="1">
      <c r="B45" t="s" s="10">
        <v>40</v>
      </c>
      <c r="C45" s="15"/>
      <c r="D45" s="16"/>
      <c r="E45" s="16"/>
      <c r="F45" s="16">
        <v>157.65</v>
      </c>
    </row>
    <row r="46" ht="20.05" customHeight="1">
      <c r="B46" t="s" s="10">
        <v>41</v>
      </c>
      <c r="C46" s="15"/>
      <c r="D46" s="16"/>
      <c r="E46" s="16"/>
      <c r="F46" s="23">
        <f>F44/F45-1</f>
        <v>0.129722956271703</v>
      </c>
    </row>
    <row r="47" ht="20.05" customHeight="1">
      <c r="B47" t="s" s="10">
        <v>42</v>
      </c>
      <c r="C47" s="15"/>
      <c r="D47" s="16"/>
      <c r="E47" s="16"/>
      <c r="F47" s="23">
        <f>'Sales'!C32/'Sales'!C28-1</f>
        <v>-0.13537015538489</v>
      </c>
    </row>
    <row r="48" ht="20.05" customHeight="1">
      <c r="B48" t="s" s="10">
        <v>43</v>
      </c>
      <c r="C48" s="15"/>
      <c r="D48" s="16"/>
      <c r="E48" s="16"/>
      <c r="F48" s="23">
        <f>'Sales'!F35/'Sales'!E35-1</f>
        <v>-0.0421176800037338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H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54688" style="24" customWidth="1"/>
    <col min="2" max="2" width="8.41406" style="24" customWidth="1"/>
    <col min="3" max="8" width="11.1797" style="24" customWidth="1"/>
    <col min="9" max="16384" width="16.3516" style="24" customWidth="1"/>
  </cols>
  <sheetData>
    <row r="1" ht="23.75" customHeight="1"/>
    <row r="2" ht="27.65" customHeight="1">
      <c r="B2" t="s" s="2">
        <v>44</v>
      </c>
      <c r="C2" s="2"/>
      <c r="D2" s="2"/>
      <c r="E2" s="2"/>
      <c r="F2" s="2"/>
      <c r="G2" s="2"/>
      <c r="H2" s="2"/>
    </row>
    <row r="3" ht="32.25" customHeight="1">
      <c r="B3" t="s" s="5">
        <v>1</v>
      </c>
      <c r="C3" t="s" s="5">
        <v>5</v>
      </c>
      <c r="D3" t="s" s="5">
        <v>36</v>
      </c>
      <c r="E3" t="s" s="5">
        <v>45</v>
      </c>
      <c r="F3" t="s" s="5">
        <v>46</v>
      </c>
      <c r="G3" t="s" s="5">
        <v>46</v>
      </c>
      <c r="H3" t="s" s="5">
        <v>36</v>
      </c>
    </row>
    <row r="4" ht="20.25" customHeight="1">
      <c r="B4" s="25">
        <v>2015</v>
      </c>
      <c r="C4" s="26">
        <v>58010</v>
      </c>
      <c r="D4" s="27"/>
      <c r="E4" s="28"/>
      <c r="F4" s="28">
        <f>('Cashflow '!C4+'Cashflow '!D4-C4)/C4</f>
        <v>-0.723358041716945</v>
      </c>
      <c r="G4" s="28"/>
      <c r="H4" s="28"/>
    </row>
    <row r="5" ht="20.05" customHeight="1">
      <c r="B5" s="29"/>
      <c r="C5" s="13">
        <v>49605</v>
      </c>
      <c r="D5" s="16"/>
      <c r="E5" s="23">
        <f>C5/C4-1</f>
        <v>-0.144888812273746</v>
      </c>
      <c r="F5" s="23">
        <f>('Cashflow '!C5+'Cashflow '!D5-C5)/C5</f>
        <v>-0.722588448745086</v>
      </c>
      <c r="G5" s="23"/>
      <c r="H5" s="23"/>
    </row>
    <row r="6" ht="20.05" customHeight="1">
      <c r="B6" s="29"/>
      <c r="C6" s="13">
        <f>233715-SUM(C4:C5)</f>
        <v>126100</v>
      </c>
      <c r="D6" s="16"/>
      <c r="E6" s="23">
        <f>C6/C5-1</f>
        <v>1.54208245136579</v>
      </c>
      <c r="F6" s="23">
        <f>('Cashflow '!C6+'Cashflow '!D6-C6)/C6</f>
        <v>-0.887049960348929</v>
      </c>
      <c r="G6" s="23"/>
      <c r="H6" s="23"/>
    </row>
    <row r="7" ht="20.05" customHeight="1">
      <c r="B7" s="29"/>
      <c r="C7" s="13">
        <v>75872</v>
      </c>
      <c r="D7" s="16"/>
      <c r="E7" s="23">
        <f>C7/C6-1</f>
        <v>-0.398318794607454</v>
      </c>
      <c r="F7" s="23">
        <f>('Cashflow '!C7+'Cashflow '!D7-C7)/C7</f>
        <v>-0.719066322226908</v>
      </c>
      <c r="G7" s="23"/>
      <c r="H7" s="23"/>
    </row>
    <row r="8" ht="20.05" customHeight="1">
      <c r="B8" s="30">
        <v>2016</v>
      </c>
      <c r="C8" s="13">
        <v>50557</v>
      </c>
      <c r="D8" s="16"/>
      <c r="E8" s="23">
        <f>C8/C7-1</f>
        <v>-0.333654048924504</v>
      </c>
      <c r="F8" s="23">
        <f>('Cashflow '!C8+'Cashflow '!D8-C8)/C8</f>
        <v>-0.721977174278537</v>
      </c>
      <c r="G8" s="23">
        <f>AVERAGE(F5:F8)</f>
        <v>-0.762670476399865</v>
      </c>
      <c r="H8" s="23"/>
    </row>
    <row r="9" ht="20.05" customHeight="1">
      <c r="B9" s="29"/>
      <c r="C9" s="13">
        <v>42358</v>
      </c>
      <c r="D9" s="16"/>
      <c r="E9" s="23">
        <f>C9/C8-1</f>
        <v>-0.162173388452638</v>
      </c>
      <c r="F9" s="23">
        <f>('Cashflow '!C9+'Cashflow '!D9-C9)/C9</f>
        <v>-0.7314320789461261</v>
      </c>
      <c r="G9" s="23">
        <f>AVERAGE(F6:F9)</f>
        <v>-0.7648813839501249</v>
      </c>
      <c r="H9" s="23"/>
    </row>
    <row r="10" ht="20.05" customHeight="1">
      <c r="B10" s="29"/>
      <c r="C10" s="13">
        <f>215639-SUM(C7:C9)</f>
        <v>46852</v>
      </c>
      <c r="D10" s="16"/>
      <c r="E10" s="23">
        <f>C10/C9-1</f>
        <v>0.106095660796072</v>
      </c>
      <c r="F10" s="23">
        <f>('Cashflow '!C10+'Cashflow '!D10-C10)/C10</f>
        <v>-0.731238794501836</v>
      </c>
      <c r="G10" s="23">
        <f>AVERAGE(F7:F10)</f>
        <v>-0.725928592488352</v>
      </c>
      <c r="H10" s="23"/>
    </row>
    <row r="11" ht="20.05" customHeight="1">
      <c r="B11" s="29"/>
      <c r="C11" s="13">
        <v>78351</v>
      </c>
      <c r="D11" s="16"/>
      <c r="E11" s="23">
        <f>C11/C10-1</f>
        <v>0.672308546059933</v>
      </c>
      <c r="F11" s="23">
        <f>('Cashflow '!C11+'Cashflow '!D11-C11)/C11</f>
        <v>-0.717502010184937</v>
      </c>
      <c r="G11" s="23">
        <f>AVERAGE(F8:F11)</f>
        <v>-0.725537514477859</v>
      </c>
      <c r="H11" s="23"/>
    </row>
    <row r="12" ht="20.05" customHeight="1">
      <c r="B12" s="30">
        <v>2017</v>
      </c>
      <c r="C12" s="13">
        <v>52896</v>
      </c>
      <c r="D12" s="16"/>
      <c r="E12" s="23">
        <f>C12/C11-1</f>
        <v>-0.324884175058391</v>
      </c>
      <c r="F12" s="23">
        <f>('Cashflow '!C12+'Cashflow '!D12-C12)/C12</f>
        <v>-0.7244026013309131</v>
      </c>
      <c r="G12" s="23">
        <f>AVERAGE(F9:F12)</f>
        <v>-0.726143871240953</v>
      </c>
      <c r="H12" s="23"/>
    </row>
    <row r="13" ht="20.05" customHeight="1">
      <c r="B13" s="29"/>
      <c r="C13" s="13">
        <v>45408</v>
      </c>
      <c r="D13" s="16"/>
      <c r="E13" s="23">
        <f>C13/C12-1</f>
        <v>-0.141560798548094</v>
      </c>
      <c r="F13" s="23">
        <f>('Cashflow '!C13+'Cashflow '!D13-C13)/C13</f>
        <v>-0.729915433403805</v>
      </c>
      <c r="G13" s="23">
        <f>AVERAGE(F10:F13)</f>
        <v>-0.725764709855373</v>
      </c>
      <c r="H13" s="23"/>
    </row>
    <row r="14" ht="20.05" customHeight="1">
      <c r="B14" s="29"/>
      <c r="C14" s="13">
        <f>229234-SUM(C11:C13)</f>
        <v>52579</v>
      </c>
      <c r="D14" s="16"/>
      <c r="E14" s="23">
        <f>C14/C13-1</f>
        <v>0.157923713883016</v>
      </c>
      <c r="F14" s="23">
        <f>('Cashflow '!C14+'Cashflow '!D14-C14)/C14</f>
        <v>-0.726658932273341</v>
      </c>
      <c r="G14" s="23">
        <f>AVERAGE(F11:F14)</f>
        <v>-0.724619744298249</v>
      </c>
      <c r="H14" s="23"/>
    </row>
    <row r="15" ht="20.05" customHeight="1">
      <c r="B15" s="29"/>
      <c r="C15" s="13">
        <v>88293</v>
      </c>
      <c r="D15" s="16"/>
      <c r="E15" s="23">
        <f>C15/C14-1</f>
        <v>0.6792445653207549</v>
      </c>
      <c r="F15" s="23">
        <f>('Cashflow '!C15+'Cashflow '!D15-C15)/C15</f>
        <v>-0.726977223562457</v>
      </c>
      <c r="G15" s="23">
        <f>AVERAGE(F12:F15)</f>
        <v>-0.726988547642629</v>
      </c>
      <c r="H15" s="23"/>
    </row>
    <row r="16" ht="20.05" customHeight="1">
      <c r="B16" s="30">
        <v>2018</v>
      </c>
      <c r="C16" s="13">
        <v>61137</v>
      </c>
      <c r="D16" s="16"/>
      <c r="E16" s="23">
        <f>C16/C15-1</f>
        <v>-0.307566851279263</v>
      </c>
      <c r="F16" s="23">
        <f>('Cashflow '!C16+'Cashflow '!D16-C16)/C16</f>
        <v>-0.707067733123967</v>
      </c>
      <c r="G16" s="23">
        <f>AVERAGE(F13:F16)</f>
        <v>-0.722654830590893</v>
      </c>
      <c r="H16" s="23"/>
    </row>
    <row r="17" ht="20.05" customHeight="1">
      <c r="B17" s="29"/>
      <c r="C17" s="13">
        <v>53265</v>
      </c>
      <c r="D17" s="16"/>
      <c r="E17" s="23">
        <f>C17/C16-1</f>
        <v>-0.128759998037195</v>
      </c>
      <c r="F17" s="23">
        <f>('Cashflow '!C17+'Cashflow '!D17-C17)/C17</f>
        <v>-0.708345067117244</v>
      </c>
      <c r="G17" s="23">
        <f>AVERAGE(F14:F17)</f>
        <v>-0.717262239019252</v>
      </c>
      <c r="H17" s="23"/>
    </row>
    <row r="18" ht="20.05" customHeight="1">
      <c r="B18" s="29"/>
      <c r="C18" s="13">
        <f>265595-SUM(C15:C17)</f>
        <v>62900</v>
      </c>
      <c r="D18" s="16"/>
      <c r="E18" s="23">
        <f>C18/C17-1</f>
        <v>0.180888012766357</v>
      </c>
      <c r="F18" s="23">
        <f>('Cashflow '!C18+'Cashflow '!D18-C18)/C18</f>
        <v>-0.71027027027027</v>
      </c>
      <c r="G18" s="23">
        <f>AVERAGE(F15:F18)</f>
        <v>-0.713165073518485</v>
      </c>
      <c r="H18" s="23"/>
    </row>
    <row r="19" ht="20.05" customHeight="1">
      <c r="B19" s="29"/>
      <c r="C19" s="13">
        <v>84310</v>
      </c>
      <c r="D19" s="16"/>
      <c r="E19" s="23">
        <f>C19/C18-1</f>
        <v>0.340381558028617</v>
      </c>
      <c r="F19" s="23">
        <f>('Cashflow '!C19+'Cashflow '!D19-C19)/C19</f>
        <v>-0.704436009963231</v>
      </c>
      <c r="G19" s="23">
        <f>AVERAGE(F16:F19)</f>
        <v>-0.707529770118678</v>
      </c>
      <c r="H19" s="23"/>
    </row>
    <row r="20" ht="20.05" customHeight="1">
      <c r="B20" s="30">
        <v>2019</v>
      </c>
      <c r="C20" s="13">
        <v>58015</v>
      </c>
      <c r="D20" s="16"/>
      <c r="E20" s="23">
        <f>C20/C19-1</f>
        <v>-0.311884711184913</v>
      </c>
      <c r="F20" s="23">
        <f>('Cashflow '!C20+'Cashflow '!D20-C20)/C20</f>
        <v>-0.722227010255968</v>
      </c>
      <c r="G20" s="23">
        <f>AVERAGE(F17:F20)</f>
        <v>-0.7113195894016781</v>
      </c>
      <c r="H20" s="23"/>
    </row>
    <row r="21" ht="20.05" customHeight="1">
      <c r="B21" s="29"/>
      <c r="C21" s="13">
        <v>53809</v>
      </c>
      <c r="D21" s="16"/>
      <c r="E21" s="23">
        <f>C21/C20-1</f>
        <v>-0.07249849176937</v>
      </c>
      <c r="F21" s="23">
        <f>('Cashflow '!C21+'Cashflow '!D21-C21)/C21</f>
        <v>-0.731030125072014</v>
      </c>
      <c r="G21" s="23">
        <f>AVERAGE(F18:F21)</f>
        <v>-0.716990853890371</v>
      </c>
      <c r="H21" s="23"/>
    </row>
    <row r="22" ht="20.05" customHeight="1">
      <c r="B22" s="29"/>
      <c r="C22" s="13">
        <f>260174-SUM(C19:C21)</f>
        <v>64040</v>
      </c>
      <c r="D22" s="16"/>
      <c r="E22" s="23">
        <f>C22/C21-1</f>
        <v>0.19013547919493</v>
      </c>
      <c r="F22" s="23">
        <f>('Cashflow '!C22+'Cashflow '!D22-C22)/C22</f>
        <v>-0.713241723922548</v>
      </c>
      <c r="G22" s="23">
        <f>AVERAGE(F19:F22)</f>
        <v>-0.71773371730344</v>
      </c>
      <c r="H22" s="23"/>
    </row>
    <row r="23" ht="20.05" customHeight="1">
      <c r="B23" s="29"/>
      <c r="C23" s="13">
        <v>91819</v>
      </c>
      <c r="D23" s="16"/>
      <c r="E23" s="23">
        <f>C23/C22-1</f>
        <v>0.433775765146783</v>
      </c>
      <c r="F23" s="23">
        <f>('Cashflow '!C23+'Cashflow '!D23-C23)/C23</f>
        <v>-0.713882747579477</v>
      </c>
      <c r="G23" s="23">
        <f>AVERAGE(F20:F23)</f>
        <v>-0.720095401707502</v>
      </c>
      <c r="H23" s="23"/>
    </row>
    <row r="24" ht="20.05" customHeight="1">
      <c r="B24" s="30">
        <v>2020</v>
      </c>
      <c r="C24" s="13">
        <v>58313</v>
      </c>
      <c r="D24" s="14">
        <v>63816.5</v>
      </c>
      <c r="E24" s="23">
        <f>C24/C23-1</f>
        <v>-0.364913579978</v>
      </c>
      <c r="F24" s="23">
        <f>('Cashflow '!C24+'Cashflow '!D24-C24)/C24</f>
        <v>-0.737399893677225</v>
      </c>
      <c r="G24" s="23">
        <f>AVERAGE(F21:F24)</f>
        <v>-0.7238886225628161</v>
      </c>
      <c r="H24" s="23"/>
    </row>
    <row r="25" ht="20.05" customHeight="1">
      <c r="B25" s="29"/>
      <c r="C25" s="13">
        <v>59685</v>
      </c>
      <c r="D25" s="14">
        <v>48428.1</v>
      </c>
      <c r="E25" s="23">
        <f>C25/C24-1</f>
        <v>0.0235282012587245</v>
      </c>
      <c r="F25" s="23">
        <f>('Cashflow '!C25+'Cashflow '!D25-C25)/C25</f>
        <v>-0.720180949987434</v>
      </c>
      <c r="G25" s="23">
        <f>AVERAGE(F22:F25)</f>
        <v>-0.721176328791671</v>
      </c>
      <c r="H25" s="23"/>
    </row>
    <row r="26" ht="20.05" customHeight="1">
      <c r="B26" s="29"/>
      <c r="C26" s="15">
        <v>64698</v>
      </c>
      <c r="D26" s="14">
        <v>62759.2</v>
      </c>
      <c r="E26" s="23">
        <f>C26/C25-1</f>
        <v>0.0839909525006283</v>
      </c>
      <c r="F26" s="23">
        <f>('Cashflow '!C26+'Cashflow '!D26-C26)/C26</f>
        <v>-0.74189310334168</v>
      </c>
      <c r="G26" s="23">
        <f>AVERAGE(F23:F26)</f>
        <v>-0.728339173646454</v>
      </c>
      <c r="H26" s="23"/>
    </row>
    <row r="27" ht="20.05" customHeight="1">
      <c r="B27" s="29"/>
      <c r="C27" s="13">
        <v>111439</v>
      </c>
      <c r="D27" s="14">
        <v>90577.2</v>
      </c>
      <c r="E27" s="23">
        <f>C27/C26-1</f>
        <v>0.722448916504374</v>
      </c>
      <c r="F27" s="23">
        <f>('Cashflow '!C27+'Cashflow '!D27-C27)/C27</f>
        <v>-0.700392142786637</v>
      </c>
      <c r="G27" s="23">
        <f>AVERAGE(F24:F27)</f>
        <v>-0.724966522448244</v>
      </c>
      <c r="H27" s="23"/>
    </row>
    <row r="28" ht="20.05" customHeight="1">
      <c r="B28" s="30">
        <v>2021</v>
      </c>
      <c r="C28" s="15">
        <v>89584</v>
      </c>
      <c r="D28" s="14">
        <v>81350.47</v>
      </c>
      <c r="E28" s="23">
        <f>C28/C27-1</f>
        <v>-0.196116260914043</v>
      </c>
      <c r="F28" s="23">
        <f>('Cashflow '!C28+'Cashflow '!D28-C28)/C28</f>
        <v>-0.689899982139668</v>
      </c>
      <c r="G28" s="23">
        <f>AVERAGE(F25:F28)</f>
        <v>-0.713091544563855</v>
      </c>
      <c r="H28" s="23"/>
    </row>
    <row r="29" ht="20.05" customHeight="1">
      <c r="B29" s="29"/>
      <c r="C29" s="15">
        <v>81434</v>
      </c>
      <c r="D29" s="14">
        <v>89584</v>
      </c>
      <c r="E29" s="23">
        <f>C29/C28-1</f>
        <v>-0.0909760671548491</v>
      </c>
      <c r="F29" s="23">
        <f>('Cashflow '!C29+'Cashflow '!D29-C29)/C29</f>
        <v>-0.683289535083626</v>
      </c>
      <c r="G29" s="23">
        <f>AVERAGE(F26:F29)</f>
        <v>-0.703868690837903</v>
      </c>
      <c r="H29" s="23"/>
    </row>
    <row r="30" ht="20.05" customHeight="1">
      <c r="B30" s="29"/>
      <c r="C30" s="15">
        <v>83360</v>
      </c>
      <c r="D30" s="16">
        <v>87949</v>
      </c>
      <c r="E30" s="23">
        <f>C30/C29-1</f>
        <v>0.0236510548419579</v>
      </c>
      <c r="F30" s="23">
        <f>('Cashflow '!C30+'Cashflow '!D30-C30)/C30</f>
        <v>-0.736204414587332</v>
      </c>
      <c r="G30" s="23">
        <f>AVERAGE(F27:F30)</f>
        <v>-0.702446518649316</v>
      </c>
      <c r="H30" s="23"/>
    </row>
    <row r="31" ht="20.05" customHeight="1">
      <c r="B31" s="29"/>
      <c r="C31" s="15">
        <v>123945</v>
      </c>
      <c r="D31" s="14">
        <v>112536</v>
      </c>
      <c r="E31" s="23">
        <f>C31/C30-1</f>
        <v>0.486864203454894</v>
      </c>
      <c r="F31" s="23">
        <f>('Cashflow '!C31+'Cashflow '!D31-C31)/C31</f>
        <v>-0.67371818145145</v>
      </c>
      <c r="G31" s="23">
        <f>AVERAGE(F28:F31)</f>
        <v>-0.695778028315519</v>
      </c>
      <c r="H31" s="23"/>
    </row>
    <row r="32" ht="20.05" customHeight="1">
      <c r="B32" s="30">
        <v>2022</v>
      </c>
      <c r="C32" s="15">
        <v>77457</v>
      </c>
      <c r="D32" s="14">
        <f>'Model'!C6</f>
        <v>81329.850000000006</v>
      </c>
      <c r="E32" s="23">
        <f>C32/C31-1</f>
        <v>-0.375069587316955</v>
      </c>
      <c r="F32" s="23">
        <f>('Cashflow '!C32+'Cashflow '!D32-C32)/C32</f>
        <v>-0.609873865499568</v>
      </c>
      <c r="G32" s="23">
        <f>AVERAGE(F29:F32)</f>
        <v>-0.6757714991554939</v>
      </c>
      <c r="H32" s="23">
        <f>G32</f>
        <v>-0.6757714991554939</v>
      </c>
    </row>
    <row r="33" ht="20.05" customHeight="1">
      <c r="B33" s="29"/>
      <c r="C33" s="15"/>
      <c r="D33" s="14">
        <f>'Model'!C6</f>
        <v>81329.850000000006</v>
      </c>
      <c r="E33" s="20"/>
      <c r="F33" s="16"/>
      <c r="G33" s="16"/>
      <c r="H33" s="23">
        <f>'Model'!C7</f>
        <v>-0.6757714991554939</v>
      </c>
    </row>
    <row r="34" ht="20.05" customHeight="1">
      <c r="B34" s="29"/>
      <c r="C34" s="15"/>
      <c r="D34" s="14">
        <f>SUM('Model'!D6)</f>
        <v>84583.043999999994</v>
      </c>
      <c r="E34" s="20"/>
      <c r="F34" s="16"/>
      <c r="G34" s="16"/>
      <c r="H34" s="16"/>
    </row>
    <row r="35" ht="20.05" customHeight="1">
      <c r="B35" s="29"/>
      <c r="C35" s="15"/>
      <c r="D35" s="14">
        <f>'Model'!E6</f>
        <v>118416.2616</v>
      </c>
      <c r="E35" s="16">
        <f>SUM(C24:C32)</f>
        <v>749915</v>
      </c>
      <c r="F35" s="16">
        <f>SUM(D24:D32)</f>
        <v>718330.3199999999</v>
      </c>
      <c r="G35" s="16"/>
      <c r="H35" s="16"/>
    </row>
    <row r="36" ht="20.05" customHeight="1">
      <c r="B36" s="30">
        <v>2023</v>
      </c>
      <c r="C36" s="15"/>
      <c r="D36" s="14">
        <f>'Model'!F6</f>
        <v>88812.196200000006</v>
      </c>
      <c r="E36" s="20"/>
      <c r="F36" s="16"/>
      <c r="G36" s="16"/>
      <c r="H36" s="16"/>
    </row>
  </sheetData>
  <mergeCells count="1">
    <mergeCell ref="B2:H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1875" style="31" customWidth="1"/>
    <col min="2" max="2" width="9.63281" style="31" customWidth="1"/>
    <col min="3" max="3" width="9.6875" style="31" customWidth="1"/>
    <col min="4" max="4" width="12.1719" style="31" customWidth="1"/>
    <col min="5" max="16" width="9.6875" style="31" customWidth="1"/>
    <col min="17" max="16384" width="16.3516" style="31" customWidth="1"/>
  </cols>
  <sheetData>
    <row r="1" ht="26.9" customHeight="1"/>
    <row r="2" ht="27.65" customHeight="1">
      <c r="B2" t="s" s="2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48</v>
      </c>
      <c r="D3" t="s" s="5">
        <v>20</v>
      </c>
      <c r="E3" t="s" s="5">
        <v>49</v>
      </c>
      <c r="F3" t="s" s="5">
        <v>50</v>
      </c>
      <c r="G3" t="s" s="5">
        <v>51</v>
      </c>
      <c r="H3" t="s" s="5">
        <v>11</v>
      </c>
      <c r="I3" t="s" s="5">
        <v>26</v>
      </c>
      <c r="J3" t="s" s="5">
        <v>10</v>
      </c>
      <c r="K3" t="s" s="5">
        <v>52</v>
      </c>
      <c r="L3" t="s" s="5">
        <v>34</v>
      </c>
      <c r="M3" t="s" s="5">
        <v>36</v>
      </c>
      <c r="N3" t="s" s="5">
        <v>30</v>
      </c>
      <c r="O3" t="s" s="5">
        <v>36</v>
      </c>
      <c r="P3" s="32"/>
    </row>
    <row r="4" ht="20.35" customHeight="1">
      <c r="B4" s="25">
        <v>2015</v>
      </c>
      <c r="C4" s="33">
        <v>13569</v>
      </c>
      <c r="D4" s="27">
        <v>2479</v>
      </c>
      <c r="E4" s="27">
        <f>F4-D4-C4</f>
        <v>3033</v>
      </c>
      <c r="F4" s="27">
        <v>19081</v>
      </c>
      <c r="G4" s="27">
        <v>-22331</v>
      </c>
      <c r="H4" s="27"/>
      <c r="I4" s="27"/>
      <c r="J4" s="27">
        <v>-1739</v>
      </c>
      <c r="K4" s="27">
        <f>F4+G4</f>
        <v>-3250</v>
      </c>
      <c r="L4" s="27"/>
      <c r="M4" s="27"/>
      <c r="N4" s="27">
        <f>-J4</f>
        <v>1739</v>
      </c>
      <c r="O4" s="27"/>
      <c r="P4" s="27">
        <v>1</v>
      </c>
    </row>
    <row r="5" ht="20.15" customHeight="1">
      <c r="B5" s="29"/>
      <c r="C5" s="15">
        <v>10677</v>
      </c>
      <c r="D5" s="16">
        <v>3084</v>
      </c>
      <c r="E5" s="16">
        <f>F5-D5-C5</f>
        <v>1227</v>
      </c>
      <c r="F5" s="16">
        <v>14988</v>
      </c>
      <c r="G5" s="16">
        <v>-11403</v>
      </c>
      <c r="H5" s="16"/>
      <c r="I5" s="16"/>
      <c r="J5" s="16">
        <v>-2755</v>
      </c>
      <c r="K5" s="16">
        <f>F5+G5</f>
        <v>3585</v>
      </c>
      <c r="L5" s="16"/>
      <c r="M5" s="16"/>
      <c r="N5" s="16">
        <f>-J5+N4</f>
        <v>4494</v>
      </c>
      <c r="O5" s="16"/>
      <c r="P5" s="16">
        <f>1+P4</f>
        <v>2</v>
      </c>
    </row>
    <row r="6" ht="20.15" customHeight="1">
      <c r="B6" s="29"/>
      <c r="C6" s="15">
        <v>11124</v>
      </c>
      <c r="D6" s="16">
        <v>3119</v>
      </c>
      <c r="E6" s="16">
        <f>F6-D6-C6</f>
        <v>-768</v>
      </c>
      <c r="F6" s="16">
        <v>13475</v>
      </c>
      <c r="G6" s="16">
        <v>-1375</v>
      </c>
      <c r="H6" s="16"/>
      <c r="I6" s="16"/>
      <c r="J6" s="16">
        <v>-6299</v>
      </c>
      <c r="K6" s="16">
        <f>F6+G6</f>
        <v>12100</v>
      </c>
      <c r="L6" s="16"/>
      <c r="M6" s="16"/>
      <c r="N6" s="16">
        <f>-J6+N5</f>
        <v>10793</v>
      </c>
      <c r="O6" s="16"/>
      <c r="P6" s="16">
        <f>1+P5</f>
        <v>3</v>
      </c>
    </row>
    <row r="7" ht="20.15" customHeight="1">
      <c r="B7" s="29"/>
      <c r="C7" s="15">
        <v>18361</v>
      </c>
      <c r="D7" s="16">
        <v>2954</v>
      </c>
      <c r="E7" s="16">
        <f>F7-D7-C7</f>
        <v>6148</v>
      </c>
      <c r="F7" s="16">
        <v>27463</v>
      </c>
      <c r="G7" s="16">
        <v>-20450</v>
      </c>
      <c r="H7" s="16"/>
      <c r="I7" s="16"/>
      <c r="J7" s="16">
        <v>-11444</v>
      </c>
      <c r="K7" s="16">
        <f>F7+G7</f>
        <v>7013</v>
      </c>
      <c r="L7" s="16"/>
      <c r="M7" s="16"/>
      <c r="N7" s="16">
        <f>-J7+N6</f>
        <v>22237</v>
      </c>
      <c r="O7" s="16"/>
      <c r="P7" s="16">
        <f>1+P6</f>
        <v>4</v>
      </c>
    </row>
    <row r="8" ht="20.15" customHeight="1">
      <c r="B8" s="30">
        <v>2016</v>
      </c>
      <c r="C8" s="15">
        <v>10516</v>
      </c>
      <c r="D8" s="16">
        <v>3540</v>
      </c>
      <c r="E8" s="16">
        <f>F8-D8-C8</f>
        <v>-2455</v>
      </c>
      <c r="F8" s="16">
        <v>11601</v>
      </c>
      <c r="G8" s="16">
        <v>-13660</v>
      </c>
      <c r="H8" s="16"/>
      <c r="I8" s="16"/>
      <c r="J8" s="16">
        <v>6884</v>
      </c>
      <c r="K8" s="16">
        <f>F8+G8</f>
        <v>-2059</v>
      </c>
      <c r="L8" s="16">
        <f>AVERAGE(K5:K8)</f>
        <v>5159.75</v>
      </c>
      <c r="M8" s="16"/>
      <c r="N8" s="16">
        <f>-J8+N7</f>
        <v>15353</v>
      </c>
      <c r="O8" s="16"/>
      <c r="P8" s="16">
        <f>1+P7</f>
        <v>5</v>
      </c>
    </row>
    <row r="9" ht="20.15" customHeight="1">
      <c r="B9" s="29"/>
      <c r="C9" s="15">
        <v>7796</v>
      </c>
      <c r="D9" s="16">
        <v>3580</v>
      </c>
      <c r="E9" s="16">
        <f>F9-D9-C9</f>
        <v>-742</v>
      </c>
      <c r="F9" s="16">
        <v>10634</v>
      </c>
      <c r="G9" s="16">
        <v>-4470</v>
      </c>
      <c r="H9" s="16"/>
      <c r="I9" s="16"/>
      <c r="J9" s="16">
        <v>-9441</v>
      </c>
      <c r="K9" s="16">
        <f>F9+G9</f>
        <v>6164</v>
      </c>
      <c r="L9" s="16">
        <f>AVERAGE(K6:K9)</f>
        <v>5804.5</v>
      </c>
      <c r="M9" s="16"/>
      <c r="N9" s="16">
        <f>-J9+N8</f>
        <v>24794</v>
      </c>
      <c r="O9" s="16"/>
      <c r="P9" s="16">
        <f>1+P8</f>
        <v>6</v>
      </c>
    </row>
    <row r="10" ht="20.15" customHeight="1">
      <c r="B10" s="29"/>
      <c r="C10" s="15">
        <v>9014</v>
      </c>
      <c r="D10" s="16">
        <v>3578</v>
      </c>
      <c r="E10" s="16">
        <f>F10-D10-C10</f>
        <v>3941</v>
      </c>
      <c r="F10" s="16">
        <v>16533</v>
      </c>
      <c r="G10" s="16">
        <v>-7397</v>
      </c>
      <c r="H10" s="16"/>
      <c r="I10" s="16"/>
      <c r="J10" s="16">
        <v>-6889</v>
      </c>
      <c r="K10" s="16">
        <f>F10+G10</f>
        <v>9136</v>
      </c>
      <c r="L10" s="16">
        <f>AVERAGE(K7:K10)</f>
        <v>5063.5</v>
      </c>
      <c r="M10" s="16"/>
      <c r="N10" s="16">
        <f>-J10+N9</f>
        <v>31683</v>
      </c>
      <c r="O10" s="16"/>
      <c r="P10" s="16">
        <f>1+P9</f>
        <v>7</v>
      </c>
    </row>
    <row r="11" ht="20.15" customHeight="1">
      <c r="B11" s="29"/>
      <c r="C11" s="15">
        <v>17891</v>
      </c>
      <c r="D11" s="16">
        <v>4243</v>
      </c>
      <c r="E11" s="16">
        <f>F11-D11-C11</f>
        <v>5100</v>
      </c>
      <c r="F11" s="16">
        <v>27234</v>
      </c>
      <c r="G11" s="16">
        <v>-19122</v>
      </c>
      <c r="H11" s="16"/>
      <c r="I11" s="16"/>
      <c r="J11" s="16">
        <v>-12225</v>
      </c>
      <c r="K11" s="16">
        <f>F11+G11</f>
        <v>8112</v>
      </c>
      <c r="L11" s="16">
        <f>AVERAGE(K8:K11)</f>
        <v>5338.25</v>
      </c>
      <c r="M11" s="16"/>
      <c r="N11" s="16">
        <f>-J11+N10</f>
        <v>43908</v>
      </c>
      <c r="O11" s="16"/>
      <c r="P11" s="16">
        <f>1+P10</f>
        <v>8</v>
      </c>
    </row>
    <row r="12" ht="20.15" customHeight="1">
      <c r="B12" s="30">
        <v>2017</v>
      </c>
      <c r="C12" s="15">
        <v>11029</v>
      </c>
      <c r="D12" s="16">
        <v>3549</v>
      </c>
      <c r="E12" s="16">
        <f>F12-D12-C12</f>
        <v>-2008</v>
      </c>
      <c r="F12" s="16">
        <v>12570</v>
      </c>
      <c r="G12" s="16">
        <v>-14202</v>
      </c>
      <c r="H12" s="16"/>
      <c r="I12" s="16"/>
      <c r="J12" s="16">
        <v>418</v>
      </c>
      <c r="K12" s="16">
        <f>F12+G12</f>
        <v>-1632</v>
      </c>
      <c r="L12" s="16">
        <f>AVERAGE(K9:K12)</f>
        <v>5445</v>
      </c>
      <c r="M12" s="16"/>
      <c r="N12" s="16">
        <f>-J12+N11</f>
        <v>43490</v>
      </c>
      <c r="O12" s="16"/>
      <c r="P12" s="16">
        <f>1+P11</f>
        <v>9</v>
      </c>
    </row>
    <row r="13" ht="20.15" customHeight="1">
      <c r="B13" s="29"/>
      <c r="C13" s="15">
        <v>8717</v>
      </c>
      <c r="D13" s="16">
        <v>3547</v>
      </c>
      <c r="E13" s="16">
        <f>F13-D13-C13</f>
        <v>-3592</v>
      </c>
      <c r="F13" s="16">
        <v>8672</v>
      </c>
      <c r="G13" s="16">
        <v>-3180</v>
      </c>
      <c r="H13" s="16"/>
      <c r="I13" s="16"/>
      <c r="J13" s="16">
        <v>-2078</v>
      </c>
      <c r="K13" s="16">
        <f>F13+G13</f>
        <v>5492</v>
      </c>
      <c r="L13" s="16">
        <f>AVERAGE(K10:K13)</f>
        <v>5277</v>
      </c>
      <c r="M13" s="16"/>
      <c r="N13" s="16">
        <f>-J13+N12</f>
        <v>45568</v>
      </c>
      <c r="O13" s="16"/>
      <c r="P13" s="16">
        <f>1+P12</f>
        <v>10</v>
      </c>
    </row>
    <row r="14" ht="20.15" customHeight="1">
      <c r="B14" s="29"/>
      <c r="C14" s="15">
        <v>10714</v>
      </c>
      <c r="D14" s="16">
        <v>3658</v>
      </c>
      <c r="E14" s="16">
        <f>F14-D14-C14</f>
        <v>1377</v>
      </c>
      <c r="F14" s="16">
        <v>15749</v>
      </c>
      <c r="G14" s="16">
        <v>-9942</v>
      </c>
      <c r="H14" s="16"/>
      <c r="I14" s="16"/>
      <c r="J14" s="16">
        <v>-4089</v>
      </c>
      <c r="K14" s="16">
        <f>F14+G14</f>
        <v>5807</v>
      </c>
      <c r="L14" s="16">
        <f>AVERAGE(K11:K14)</f>
        <v>4444.75</v>
      </c>
      <c r="M14" s="16"/>
      <c r="N14" s="16">
        <f>-J14+N13</f>
        <v>49657</v>
      </c>
      <c r="O14" s="16"/>
      <c r="P14" s="16">
        <f>1+P13</f>
        <v>11</v>
      </c>
    </row>
    <row r="15" ht="20.15" customHeight="1">
      <c r="B15" s="29"/>
      <c r="C15" s="15">
        <v>20065</v>
      </c>
      <c r="D15" s="16">
        <v>4041</v>
      </c>
      <c r="E15" s="16">
        <f>F15-D15-C15</f>
        <v>-21361</v>
      </c>
      <c r="F15" s="16">
        <v>2745</v>
      </c>
      <c r="G15" s="16">
        <v>2745</v>
      </c>
      <c r="H15" s="16"/>
      <c r="I15" s="16"/>
      <c r="J15" s="16">
        <v>2745</v>
      </c>
      <c r="K15" s="16">
        <f>F15+G15</f>
        <v>5490</v>
      </c>
      <c r="L15" s="16">
        <f>AVERAGE(K12:K15)</f>
        <v>3789.25</v>
      </c>
      <c r="M15" s="16"/>
      <c r="N15" s="16">
        <f>-J15+N14</f>
        <v>46912</v>
      </c>
      <c r="O15" s="16"/>
      <c r="P15" s="16">
        <f>1+P14</f>
        <v>12</v>
      </c>
    </row>
    <row r="16" ht="20.15" customHeight="1">
      <c r="B16" s="30">
        <v>2018</v>
      </c>
      <c r="C16" s="15">
        <v>13822</v>
      </c>
      <c r="D16" s="16">
        <v>4087</v>
      </c>
      <c r="E16" s="16">
        <f>F16-D16-C16</f>
        <v>-2779</v>
      </c>
      <c r="F16" s="16">
        <v>15130</v>
      </c>
      <c r="G16" s="16">
        <v>28710</v>
      </c>
      <c r="H16" s="16"/>
      <c r="I16" s="16"/>
      <c r="J16" s="16">
        <v>-26272</v>
      </c>
      <c r="K16" s="16">
        <f>F16+G16</f>
        <v>43840</v>
      </c>
      <c r="L16" s="16">
        <f>AVERAGE(K13:K16)</f>
        <v>15157.25</v>
      </c>
      <c r="M16" s="16"/>
      <c r="N16" s="16">
        <f>-J16+N15</f>
        <v>73184</v>
      </c>
      <c r="O16" s="16"/>
      <c r="P16" s="16">
        <f>1+P15</f>
        <v>13</v>
      </c>
    </row>
    <row r="17" ht="20.15" customHeight="1">
      <c r="B17" s="29"/>
      <c r="C17" s="15">
        <v>11519</v>
      </c>
      <c r="D17" s="16">
        <v>4016</v>
      </c>
      <c r="E17" s="16">
        <f>F17-D17-C17</f>
        <v>-1047</v>
      </c>
      <c r="F17" s="16">
        <v>14488</v>
      </c>
      <c r="G17" s="16">
        <v>3947</v>
      </c>
      <c r="H17" s="16"/>
      <c r="I17" s="16"/>
      <c r="J17" s="16">
        <v>-31523</v>
      </c>
      <c r="K17" s="16">
        <f>F17+G17</f>
        <v>18435</v>
      </c>
      <c r="L17" s="16">
        <f>AVERAGE(K14:K17)</f>
        <v>18393</v>
      </c>
      <c r="M17" s="16"/>
      <c r="N17" s="16">
        <f>-J17+N16</f>
        <v>104707</v>
      </c>
      <c r="O17" s="16"/>
      <c r="P17" s="16">
        <f>1+P16</f>
        <v>14</v>
      </c>
    </row>
    <row r="18" ht="20.15" customHeight="1">
      <c r="B18" s="29"/>
      <c r="C18" s="15">
        <v>14125</v>
      </c>
      <c r="D18" s="16">
        <v>4099</v>
      </c>
      <c r="E18" s="16">
        <f>F18-D18-C18</f>
        <v>1299</v>
      </c>
      <c r="F18" s="16">
        <v>19523</v>
      </c>
      <c r="G18" s="16">
        <v>-3001</v>
      </c>
      <c r="H18" s="16"/>
      <c r="I18" s="16"/>
      <c r="J18" s="16">
        <v>-22580</v>
      </c>
      <c r="K18" s="16">
        <f>F18+G18</f>
        <v>16522</v>
      </c>
      <c r="L18" s="16">
        <f>AVERAGE(K15:K18)</f>
        <v>21071.75</v>
      </c>
      <c r="M18" s="16"/>
      <c r="N18" s="16">
        <f>-J18+N17</f>
        <v>127287</v>
      </c>
      <c r="O18" s="16"/>
      <c r="P18" s="16">
        <f>1+P17</f>
        <v>15</v>
      </c>
    </row>
    <row r="19" ht="20.15" customHeight="1">
      <c r="B19" s="29"/>
      <c r="C19" s="15">
        <v>19965</v>
      </c>
      <c r="D19" s="16">
        <v>4954</v>
      </c>
      <c r="E19" s="16">
        <f>F19-D19-C19</f>
        <v>1771</v>
      </c>
      <c r="F19" s="16">
        <v>26690</v>
      </c>
      <c r="G19" s="16">
        <v>5844</v>
      </c>
      <c r="H19" s="16"/>
      <c r="I19" s="16"/>
      <c r="J19" s="16">
        <v>-13676</v>
      </c>
      <c r="K19" s="16">
        <f>F19+G19</f>
        <v>32534</v>
      </c>
      <c r="L19" s="16">
        <f>AVERAGE(K16:K19)</f>
        <v>27832.75</v>
      </c>
      <c r="M19" s="16"/>
      <c r="N19" s="16">
        <f>-J19+N18</f>
        <v>140963</v>
      </c>
      <c r="O19" s="16"/>
      <c r="P19" s="16">
        <f>1+P18</f>
        <v>16</v>
      </c>
    </row>
    <row r="20" ht="20.15" customHeight="1">
      <c r="B20" s="30">
        <v>2019</v>
      </c>
      <c r="C20" s="15">
        <v>11561</v>
      </c>
      <c r="D20" s="16">
        <v>4554</v>
      </c>
      <c r="E20" s="16">
        <f>F20-D20-C20</f>
        <v>-4960</v>
      </c>
      <c r="F20" s="16">
        <v>11155</v>
      </c>
      <c r="G20" s="16">
        <v>13348</v>
      </c>
      <c r="H20" s="16"/>
      <c r="I20" s="16"/>
      <c r="J20" s="16">
        <v>-29457</v>
      </c>
      <c r="K20" s="16">
        <f>F20+G20</f>
        <v>24503</v>
      </c>
      <c r="L20" s="16">
        <f>AVERAGE(K17:K20)</f>
        <v>22998.5</v>
      </c>
      <c r="M20" s="16"/>
      <c r="N20" s="16">
        <f>-J20+N19</f>
        <v>170420</v>
      </c>
      <c r="O20" s="16"/>
      <c r="P20" s="16">
        <f>1+P19</f>
        <v>17</v>
      </c>
    </row>
    <row r="21" ht="20.15" customHeight="1">
      <c r="B21" s="29"/>
      <c r="C21" s="15">
        <v>10044</v>
      </c>
      <c r="D21" s="16">
        <v>4429</v>
      </c>
      <c r="E21" s="16">
        <f>F21-D21-C21</f>
        <v>-2837</v>
      </c>
      <c r="F21" s="16">
        <v>11636</v>
      </c>
      <c r="G21" s="16">
        <v>27502</v>
      </c>
      <c r="H21" s="16"/>
      <c r="I21" s="16"/>
      <c r="J21" s="16">
        <v>-26804</v>
      </c>
      <c r="K21" s="16">
        <f>F21+G21</f>
        <v>39138</v>
      </c>
      <c r="L21" s="16">
        <f>AVERAGE(K18:K21)</f>
        <v>28174.25</v>
      </c>
      <c r="M21" s="16"/>
      <c r="N21" s="16">
        <f>-J21+N20</f>
        <v>197224</v>
      </c>
      <c r="O21" s="16"/>
      <c r="P21" s="16">
        <f>1+P20</f>
        <v>18</v>
      </c>
    </row>
    <row r="22" ht="20.15" customHeight="1">
      <c r="B22" s="29"/>
      <c r="C22" s="15">
        <v>13686</v>
      </c>
      <c r="D22" s="16">
        <v>4678</v>
      </c>
      <c r="E22" s="16">
        <f>F22-D22-C22</f>
        <v>1546</v>
      </c>
      <c r="F22" s="16">
        <v>19910</v>
      </c>
      <c r="G22" s="16">
        <v>-798</v>
      </c>
      <c r="H22" s="16"/>
      <c r="I22" s="16"/>
      <c r="J22" s="16">
        <v>-21039</v>
      </c>
      <c r="K22" s="16">
        <f>F22+G22</f>
        <v>19112</v>
      </c>
      <c r="L22" s="16">
        <f>AVERAGE(K19:K22)</f>
        <v>28821.75</v>
      </c>
      <c r="M22" s="16"/>
      <c r="N22" s="16">
        <f>-J22+N21</f>
        <v>218263</v>
      </c>
      <c r="O22" s="16"/>
      <c r="P22" s="16">
        <f>1+P21</f>
        <v>19</v>
      </c>
    </row>
    <row r="23" ht="20.15" customHeight="1">
      <c r="B23" s="29"/>
      <c r="C23" s="15">
        <v>22236</v>
      </c>
      <c r="D23" s="16">
        <v>4035</v>
      </c>
      <c r="E23" s="16">
        <f>F23-D23-C23</f>
        <v>4245</v>
      </c>
      <c r="F23" s="16">
        <v>30516</v>
      </c>
      <c r="G23" s="16">
        <v>-13668</v>
      </c>
      <c r="H23" s="16"/>
      <c r="I23" s="16"/>
      <c r="J23" s="16">
        <v>-25407</v>
      </c>
      <c r="K23" s="16">
        <f>F23+G23</f>
        <v>16848</v>
      </c>
      <c r="L23" s="16">
        <f>AVERAGE(K20:K23)</f>
        <v>24900.25</v>
      </c>
      <c r="M23" s="16"/>
      <c r="N23" s="16">
        <f>-J23+N22</f>
        <v>243670</v>
      </c>
      <c r="O23" s="16"/>
      <c r="P23" s="16">
        <f>1+P22</f>
        <v>20</v>
      </c>
    </row>
    <row r="24" ht="20.15" customHeight="1">
      <c r="B24" s="30">
        <v>2020</v>
      </c>
      <c r="C24" s="15">
        <v>11249</v>
      </c>
      <c r="D24" s="16">
        <v>4064</v>
      </c>
      <c r="E24" s="16">
        <f>F24-D24-C24</f>
        <v>-2002</v>
      </c>
      <c r="F24" s="16">
        <v>13311</v>
      </c>
      <c r="G24" s="16">
        <v>9013</v>
      </c>
      <c r="H24" s="16"/>
      <c r="I24" s="16"/>
      <c r="J24" s="16">
        <v>-20940</v>
      </c>
      <c r="K24" s="16">
        <f>F24+G24</f>
        <v>22324</v>
      </c>
      <c r="L24" s="16">
        <f>AVERAGE(K21:K24)</f>
        <v>24355.5</v>
      </c>
      <c r="M24" s="16"/>
      <c r="N24" s="16">
        <f>-J24+N23</f>
        <v>264610</v>
      </c>
      <c r="O24" s="16"/>
      <c r="P24" s="16">
        <f>1+P23</f>
        <v>21</v>
      </c>
    </row>
    <row r="25" ht="20.15" customHeight="1">
      <c r="B25" s="29"/>
      <c r="C25" s="15">
        <v>11253</v>
      </c>
      <c r="D25" s="16">
        <v>5448</v>
      </c>
      <c r="E25" s="16">
        <f>F25-D25-C25</f>
        <v>-430</v>
      </c>
      <c r="F25" s="16">
        <v>16271</v>
      </c>
      <c r="G25" s="16">
        <v>-5165</v>
      </c>
      <c r="H25" s="16"/>
      <c r="I25" s="16"/>
      <c r="J25" s="16">
        <v>-19116</v>
      </c>
      <c r="K25" s="16">
        <f>F25+G25</f>
        <v>11106</v>
      </c>
      <c r="L25" s="16">
        <f>AVERAGE(K22:K25)</f>
        <v>17347.5</v>
      </c>
      <c r="M25" s="16"/>
      <c r="N25" s="16">
        <f>-J25+N24</f>
        <v>283726</v>
      </c>
      <c r="O25" s="16"/>
      <c r="P25" s="16">
        <f>1+P24</f>
        <v>22</v>
      </c>
    </row>
    <row r="26" ht="20.15" customHeight="1">
      <c r="B26" s="29"/>
      <c r="C26" s="15">
        <v>12673</v>
      </c>
      <c r="D26" s="16">
        <v>4026</v>
      </c>
      <c r="E26" s="16">
        <f>F26-D26-C26</f>
        <v>3877</v>
      </c>
      <c r="F26" s="16">
        <v>20576</v>
      </c>
      <c r="G26" s="16">
        <f>-4289-G25-G24-G23</f>
        <v>5531</v>
      </c>
      <c r="H26" s="16"/>
      <c r="I26" s="16"/>
      <c r="J26" s="16">
        <v>-21357</v>
      </c>
      <c r="K26" s="16">
        <f>F26+G26</f>
        <v>26107</v>
      </c>
      <c r="L26" s="16">
        <f>AVERAGE(K23:K26)</f>
        <v>19096.25</v>
      </c>
      <c r="M26" s="16"/>
      <c r="N26" s="16">
        <f>-J26+N25</f>
        <v>305083</v>
      </c>
      <c r="O26" s="16"/>
      <c r="P26" s="16">
        <f>1+P25</f>
        <v>23</v>
      </c>
    </row>
    <row r="27" ht="20.15" customHeight="1">
      <c r="B27" s="29"/>
      <c r="C27" s="15">
        <v>28755</v>
      </c>
      <c r="D27" s="16">
        <v>4633</v>
      </c>
      <c r="E27" s="16">
        <f>F27-D27-C27</f>
        <v>5375</v>
      </c>
      <c r="F27" s="16">
        <v>38763</v>
      </c>
      <c r="G27" s="16">
        <v>-8584</v>
      </c>
      <c r="H27" s="16"/>
      <c r="I27" s="16"/>
      <c r="J27" s="16">
        <v>-32249</v>
      </c>
      <c r="K27" s="16">
        <f>F27+G27</f>
        <v>30179</v>
      </c>
      <c r="L27" s="16">
        <f>AVERAGE(K24:K27)</f>
        <v>22429</v>
      </c>
      <c r="M27" s="16"/>
      <c r="N27" s="16">
        <f>-J27+N26</f>
        <v>337332</v>
      </c>
      <c r="O27" s="16"/>
      <c r="P27" s="16">
        <f>1+P26</f>
        <v>24</v>
      </c>
    </row>
    <row r="28" ht="20.15" customHeight="1">
      <c r="B28" s="30">
        <v>2021</v>
      </c>
      <c r="C28" s="15">
        <v>23630</v>
      </c>
      <c r="D28" s="16">
        <v>4150</v>
      </c>
      <c r="E28" s="16">
        <f>F28-D28-C28</f>
        <v>-3799</v>
      </c>
      <c r="F28" s="16">
        <v>23981</v>
      </c>
      <c r="G28" s="16">
        <v>-10368</v>
      </c>
      <c r="H28" s="16"/>
      <c r="I28" s="16"/>
      <c r="J28" s="16">
        <v>-11326</v>
      </c>
      <c r="K28" s="16">
        <f>F28+G28</f>
        <v>13613</v>
      </c>
      <c r="L28" s="16">
        <f>AVERAGE(K25:K28)</f>
        <v>20251.25</v>
      </c>
      <c r="M28" s="16"/>
      <c r="N28" s="16">
        <f>-J28+N27</f>
        <v>348658</v>
      </c>
      <c r="O28" s="16"/>
      <c r="P28" s="16">
        <f>1+P27</f>
        <v>25</v>
      </c>
    </row>
    <row r="29" ht="20.15" customHeight="1">
      <c r="B29" s="29"/>
      <c r="C29" s="15">
        <v>21744</v>
      </c>
      <c r="D29" s="16">
        <v>4047</v>
      </c>
      <c r="E29" s="16">
        <f>F29-D29-C29</f>
        <v>-4697</v>
      </c>
      <c r="F29" s="16">
        <v>21094</v>
      </c>
      <c r="G29" s="16">
        <v>3572</v>
      </c>
      <c r="H29" s="16"/>
      <c r="I29" s="16"/>
      <c r="J29" s="16">
        <v>-29396</v>
      </c>
      <c r="K29" s="16">
        <f>F29+G29</f>
        <v>24666</v>
      </c>
      <c r="L29" s="16">
        <f>AVERAGE(K26:K29)</f>
        <v>23641.25</v>
      </c>
      <c r="M29" s="16"/>
      <c r="N29" s="16">
        <f>-J29+N28</f>
        <v>378054</v>
      </c>
      <c r="O29" s="16"/>
      <c r="P29" s="16">
        <f>1+P28</f>
        <v>26</v>
      </c>
    </row>
    <row r="30" ht="20.15" customHeight="1">
      <c r="B30" s="29"/>
      <c r="C30" s="15">
        <f>94680-C29-C28-C27</f>
        <v>20551</v>
      </c>
      <c r="D30" s="16">
        <f>11284+7906-4774-147-D29-D28-D27</f>
        <v>1439</v>
      </c>
      <c r="E30" s="16">
        <f>F30-D30-C30</f>
        <v>-1790</v>
      </c>
      <c r="F30" s="16">
        <f>104038-F29-F28-F27</f>
        <v>20200</v>
      </c>
      <c r="G30" s="16">
        <f>-14545-G29-G28-G27</f>
        <v>835</v>
      </c>
      <c r="H30" s="16"/>
      <c r="I30" s="16"/>
      <c r="J30" s="16">
        <f>-99353-J29-J28-J27</f>
        <v>-26382</v>
      </c>
      <c r="K30" s="16">
        <f>F30+G30</f>
        <v>21035</v>
      </c>
      <c r="L30" s="16">
        <f>AVERAGE(K27:K30)</f>
        <v>22373.25</v>
      </c>
      <c r="M30" s="16"/>
      <c r="N30" s="16">
        <f>-J30+N29</f>
        <v>404436</v>
      </c>
      <c r="O30" s="16"/>
      <c r="P30" s="16">
        <f>1+P29</f>
        <v>27</v>
      </c>
    </row>
    <row r="31" ht="20.15" customHeight="1">
      <c r="B31" s="29"/>
      <c r="C31" s="15">
        <v>34630</v>
      </c>
      <c r="D31" s="16">
        <v>5811</v>
      </c>
      <c r="E31" s="16">
        <f>F31-D31-C31</f>
        <v>6525</v>
      </c>
      <c r="F31" s="16">
        <v>46966</v>
      </c>
      <c r="G31" s="16">
        <v>-16103</v>
      </c>
      <c r="H31" s="16">
        <v>-1061</v>
      </c>
      <c r="I31" s="16">
        <f>-28159-H31</f>
        <v>-27098</v>
      </c>
      <c r="J31" s="16">
        <v>-28159</v>
      </c>
      <c r="K31" s="16">
        <f>F31+G31</f>
        <v>30863</v>
      </c>
      <c r="L31" s="16">
        <f>AVERAGE(K28:K31)</f>
        <v>22544.25</v>
      </c>
      <c r="M31" s="16"/>
      <c r="N31" s="16">
        <f>-J31+N30</f>
        <v>432595</v>
      </c>
      <c r="O31" s="16"/>
      <c r="P31" s="16">
        <f>1+P30</f>
        <v>28</v>
      </c>
    </row>
    <row r="32" ht="20.15" customHeight="1">
      <c r="B32" s="30">
        <v>2022</v>
      </c>
      <c r="C32" s="15">
        <f>59640-C31</f>
        <v>25010</v>
      </c>
      <c r="D32" s="16">
        <f>5434+4517+1088-20-D31</f>
        <v>5208</v>
      </c>
      <c r="E32" s="16">
        <f>F32-D32-C32</f>
        <v>-2052</v>
      </c>
      <c r="F32" s="16">
        <f>75132-F31</f>
        <v>28166</v>
      </c>
      <c r="G32" s="16">
        <f>-25371-G31</f>
        <v>-9268</v>
      </c>
      <c r="H32" s="16">
        <f>-3750+999-H31</f>
        <v>-1690</v>
      </c>
      <c r="I32" s="16">
        <f>3218-7327-43109-I31</f>
        <v>-20120</v>
      </c>
      <c r="J32" s="16">
        <f>-56510-J31</f>
        <v>-28351</v>
      </c>
      <c r="K32" s="16">
        <f>F32+G32</f>
        <v>18898</v>
      </c>
      <c r="L32" s="16">
        <f>AVERAGE(K29:K32)</f>
        <v>23865.5</v>
      </c>
      <c r="M32" s="16">
        <f>L32</f>
        <v>23865.5</v>
      </c>
      <c r="N32" s="16">
        <f>-J32+N31</f>
        <v>460946</v>
      </c>
      <c r="O32" s="16">
        <f>N32</f>
        <v>460946</v>
      </c>
      <c r="P32" s="16">
        <f>1+P31</f>
        <v>29</v>
      </c>
    </row>
    <row r="33" ht="20.15" customHeight="1">
      <c r="B33" s="29"/>
      <c r="C33" s="15"/>
      <c r="D33" s="16"/>
      <c r="E33" s="16"/>
      <c r="F33" s="16"/>
      <c r="G33" s="16"/>
      <c r="H33" s="16"/>
      <c r="I33" s="16"/>
      <c r="J33" s="16"/>
      <c r="K33" s="16"/>
      <c r="L33" s="21"/>
      <c r="M33" s="16">
        <f>SUM('Model'!C9:F10)/4</f>
        <v>22707.0192981268</v>
      </c>
      <c r="N33" s="21"/>
      <c r="O33" s="16">
        <f>'Model'!F33</f>
        <v>551774.077192508</v>
      </c>
      <c r="P33" s="16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4" customWidth="1"/>
    <col min="2" max="2" width="9.03906" style="34" customWidth="1"/>
    <col min="3" max="11" width="11.9609" style="34" customWidth="1"/>
    <col min="12" max="16384" width="16.3516" style="34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20.25" customHeight="1">
      <c r="B3" t="s" s="5">
        <v>1</v>
      </c>
      <c r="C3" t="s" s="5">
        <v>53</v>
      </c>
      <c r="D3" t="s" s="5">
        <v>54</v>
      </c>
      <c r="E3" t="s" s="5">
        <v>23</v>
      </c>
      <c r="F3" t="s" s="5">
        <v>24</v>
      </c>
      <c r="G3" t="s" s="5">
        <v>11</v>
      </c>
      <c r="H3" t="s" s="5">
        <v>26</v>
      </c>
      <c r="I3" t="s" s="5">
        <v>27</v>
      </c>
      <c r="J3" t="s" s="5">
        <v>55</v>
      </c>
      <c r="K3" t="s" s="5">
        <v>36</v>
      </c>
    </row>
    <row r="4" ht="20.25" customHeight="1">
      <c r="B4" s="25">
        <v>2015</v>
      </c>
      <c r="C4" s="33">
        <v>14489</v>
      </c>
      <c r="D4" s="27">
        <v>261194</v>
      </c>
      <c r="E4" s="27">
        <f>D4-C4</f>
        <v>246705</v>
      </c>
      <c r="F4" s="27">
        <v>22309</v>
      </c>
      <c r="G4" s="27">
        <v>132188</v>
      </c>
      <c r="H4" s="27">
        <v>129006</v>
      </c>
      <c r="I4" s="27">
        <f>G4+H4-C4-E4</f>
        <v>0</v>
      </c>
      <c r="J4" s="27">
        <f>C4-G4</f>
        <v>-117699</v>
      </c>
      <c r="K4" s="27"/>
    </row>
    <row r="5" ht="20.05" customHeight="1">
      <c r="B5" s="29"/>
      <c r="C5" s="15">
        <v>15319</v>
      </c>
      <c r="D5" s="16">
        <v>273151</v>
      </c>
      <c r="E5" s="16">
        <f>D5-C5</f>
        <v>257832</v>
      </c>
      <c r="F5" s="16">
        <v>24395</v>
      </c>
      <c r="G5" s="16">
        <v>147474</v>
      </c>
      <c r="H5" s="16">
        <v>125677</v>
      </c>
      <c r="I5" s="16">
        <f>G5+H5-C5-E5</f>
        <v>0</v>
      </c>
      <c r="J5" s="16">
        <f>C5-G5</f>
        <v>-132155</v>
      </c>
      <c r="K5" s="16"/>
    </row>
    <row r="6" ht="20.05" customHeight="1">
      <c r="B6" s="29"/>
      <c r="C6" s="15">
        <v>21120</v>
      </c>
      <c r="D6" s="16">
        <v>290345</v>
      </c>
      <c r="E6" s="16">
        <f>D6-C6</f>
        <v>269225</v>
      </c>
      <c r="F6" s="16">
        <v>26786</v>
      </c>
      <c r="G6" s="16">
        <v>170990</v>
      </c>
      <c r="H6" s="16">
        <v>119355</v>
      </c>
      <c r="I6" s="16">
        <f>G6+H6-C6-E6</f>
        <v>0</v>
      </c>
      <c r="J6" s="16">
        <f>C6-G6</f>
        <v>-149870</v>
      </c>
      <c r="K6" s="16"/>
    </row>
    <row r="7" ht="20.05" customHeight="1">
      <c r="B7" s="29"/>
      <c r="C7" s="15">
        <v>16689</v>
      </c>
      <c r="D7" s="16">
        <v>293284</v>
      </c>
      <c r="E7" s="16">
        <f>D7-C7</f>
        <v>276595</v>
      </c>
      <c r="F7" s="16">
        <v>29042</v>
      </c>
      <c r="G7" s="16">
        <v>165017</v>
      </c>
      <c r="H7" s="16">
        <v>128267</v>
      </c>
      <c r="I7" s="16">
        <f>G7+H7-C7-E7</f>
        <v>0</v>
      </c>
      <c r="J7" s="16">
        <f>C7-G7</f>
        <v>-148328</v>
      </c>
      <c r="K7" s="16"/>
    </row>
    <row r="8" ht="20.05" customHeight="1">
      <c r="B8" s="30">
        <v>2016</v>
      </c>
      <c r="C8" s="15">
        <v>21514</v>
      </c>
      <c r="D8" s="16">
        <v>305277</v>
      </c>
      <c r="E8" s="16">
        <f>D8-C8</f>
        <v>283763</v>
      </c>
      <c r="F8" s="16">
        <v>30848</v>
      </c>
      <c r="G8" s="16">
        <v>174820</v>
      </c>
      <c r="H8" s="16">
        <v>130457</v>
      </c>
      <c r="I8" s="16">
        <f>G8+H8-C8-E8</f>
        <v>0</v>
      </c>
      <c r="J8" s="16">
        <f>C8-G8</f>
        <v>-153306</v>
      </c>
      <c r="K8" s="16"/>
    </row>
    <row r="9" ht="20.05" customHeight="1">
      <c r="B9" s="29"/>
      <c r="C9" s="15">
        <v>18237</v>
      </c>
      <c r="D9" s="16">
        <v>305602</v>
      </c>
      <c r="E9" s="16">
        <f>D9-C9</f>
        <v>287365</v>
      </c>
      <c r="F9" s="16">
        <v>32543</v>
      </c>
      <c r="G9" s="16">
        <v>179061</v>
      </c>
      <c r="H9" s="16">
        <v>126541</v>
      </c>
      <c r="I9" s="16">
        <f>G9+H9-C9-E9</f>
        <v>0</v>
      </c>
      <c r="J9" s="16">
        <f>C9-G9</f>
        <v>-160824</v>
      </c>
      <c r="K9" s="16"/>
    </row>
    <row r="10" ht="20.05" customHeight="1">
      <c r="B10" s="29"/>
      <c r="C10" s="15">
        <v>20484</v>
      </c>
      <c r="D10" s="16">
        <v>321686</v>
      </c>
      <c r="E10" s="16">
        <f>D10-C10</f>
        <v>301202</v>
      </c>
      <c r="F10" s="16">
        <v>34235</v>
      </c>
      <c r="G10" s="16">
        <v>193437</v>
      </c>
      <c r="H10" s="16">
        <v>128249</v>
      </c>
      <c r="I10" s="16">
        <f>G10+H10-C10-E10</f>
        <v>0</v>
      </c>
      <c r="J10" s="16">
        <f>C10-G10</f>
        <v>-172953</v>
      </c>
      <c r="K10" s="16"/>
    </row>
    <row r="11" ht="20.05" customHeight="1">
      <c r="B11" s="29"/>
      <c r="C11" s="15">
        <v>16371</v>
      </c>
      <c r="D11" s="16">
        <v>331141</v>
      </c>
      <c r="E11" s="16">
        <f>D11-C11</f>
        <v>314770</v>
      </c>
      <c r="F11" s="16">
        <v>36249</v>
      </c>
      <c r="G11" s="16">
        <v>198751</v>
      </c>
      <c r="H11" s="16">
        <v>132390</v>
      </c>
      <c r="I11" s="16">
        <f>G11+H11-C11-E11</f>
        <v>0</v>
      </c>
      <c r="J11" s="16">
        <f>C11-G11</f>
        <v>-182380</v>
      </c>
      <c r="K11" s="16"/>
    </row>
    <row r="12" ht="20.05" customHeight="1">
      <c r="B12" s="30">
        <v>2017</v>
      </c>
      <c r="C12" s="15">
        <v>15157</v>
      </c>
      <c r="D12" s="16">
        <v>334532</v>
      </c>
      <c r="E12" s="16">
        <f>D12-C12</f>
        <v>319375</v>
      </c>
      <c r="F12" s="16">
        <v>37961</v>
      </c>
      <c r="G12" s="16">
        <v>200450</v>
      </c>
      <c r="H12" s="16">
        <v>134082</v>
      </c>
      <c r="I12" s="16">
        <f>G12+H12-C12-E12</f>
        <v>0</v>
      </c>
      <c r="J12" s="16">
        <f>C12-G12</f>
        <v>-185293</v>
      </c>
      <c r="K12" s="16"/>
    </row>
    <row r="13" ht="20.05" customHeight="1">
      <c r="B13" s="29"/>
      <c r="C13" s="15">
        <v>18571</v>
      </c>
      <c r="D13" s="16">
        <v>345173</v>
      </c>
      <c r="E13" s="16">
        <f>D13-C13</f>
        <v>326602</v>
      </c>
      <c r="F13" s="16">
        <v>39695</v>
      </c>
      <c r="G13" s="16">
        <v>212748</v>
      </c>
      <c r="H13" s="16">
        <v>132425</v>
      </c>
      <c r="I13" s="16">
        <f>G13+H13-C13-E13</f>
        <v>0</v>
      </c>
      <c r="J13" s="16">
        <f>C13-G13</f>
        <v>-194177</v>
      </c>
      <c r="K13" s="16"/>
    </row>
    <row r="14" ht="20.05" customHeight="1">
      <c r="B14" s="29"/>
      <c r="C14" s="15">
        <v>20289</v>
      </c>
      <c r="D14" s="16">
        <v>375319</v>
      </c>
      <c r="E14" s="16">
        <f>D14-C14</f>
        <v>355030</v>
      </c>
      <c r="F14" s="16">
        <v>41293</v>
      </c>
      <c r="G14" s="16">
        <v>241272</v>
      </c>
      <c r="H14" s="16">
        <v>134047</v>
      </c>
      <c r="I14" s="16">
        <f>G14+H14-C14-E14</f>
        <v>0</v>
      </c>
      <c r="J14" s="16">
        <f>C14-G14</f>
        <v>-220983</v>
      </c>
      <c r="K14" s="16"/>
    </row>
    <row r="15" ht="20.05" customHeight="1">
      <c r="B15" s="29"/>
      <c r="C15" s="15">
        <v>27491</v>
      </c>
      <c r="D15" s="16">
        <v>406794</v>
      </c>
      <c r="E15" s="16">
        <f>D15-C15</f>
        <v>379303</v>
      </c>
      <c r="F15" s="16">
        <v>43431</v>
      </c>
      <c r="G15" s="16">
        <v>266595</v>
      </c>
      <c r="H15" s="16">
        <v>140199</v>
      </c>
      <c r="I15" s="16">
        <f>G15+H15-C15-E15</f>
        <v>0</v>
      </c>
      <c r="J15" s="16">
        <f>C15-G15</f>
        <v>-239104</v>
      </c>
      <c r="K15" s="16"/>
    </row>
    <row r="16" ht="20.05" customHeight="1">
      <c r="B16" s="30">
        <v>2018</v>
      </c>
      <c r="C16" s="15">
        <v>45059</v>
      </c>
      <c r="D16" s="16">
        <v>367502</v>
      </c>
      <c r="E16" s="16">
        <f>D16-C16</f>
        <v>322443</v>
      </c>
      <c r="F16" s="16">
        <v>45425</v>
      </c>
      <c r="G16" s="16">
        <v>240624</v>
      </c>
      <c r="H16" s="16">
        <v>126878</v>
      </c>
      <c r="I16" s="16">
        <f>G16+H16-C16-E16</f>
        <v>0</v>
      </c>
      <c r="J16" s="16">
        <f>C16-G16</f>
        <v>-195565</v>
      </c>
      <c r="K16" s="16"/>
    </row>
    <row r="17" ht="20.05" customHeight="1">
      <c r="B17" s="29"/>
      <c r="C17" s="15">
        <v>31971</v>
      </c>
      <c r="D17" s="16">
        <v>349197</v>
      </c>
      <c r="E17" s="16">
        <f>D17-C17</f>
        <v>317226</v>
      </c>
      <c r="F17" s="16">
        <v>47521</v>
      </c>
      <c r="G17" s="16">
        <v>234248</v>
      </c>
      <c r="H17" s="16">
        <v>114949</v>
      </c>
      <c r="I17" s="16">
        <f>G17+H17-C17-E17</f>
        <v>0</v>
      </c>
      <c r="J17" s="16">
        <f>C17-G17</f>
        <v>-202277</v>
      </c>
      <c r="K17" s="16"/>
    </row>
    <row r="18" ht="20.05" customHeight="1">
      <c r="B18" s="29"/>
      <c r="C18" s="15">
        <v>25913</v>
      </c>
      <c r="D18" s="16">
        <v>365725</v>
      </c>
      <c r="E18" s="16">
        <f>D18-C18</f>
        <v>339812</v>
      </c>
      <c r="F18" s="16">
        <v>49099</v>
      </c>
      <c r="G18" s="16">
        <v>258578</v>
      </c>
      <c r="H18" s="16">
        <v>107147</v>
      </c>
      <c r="I18" s="16">
        <f>G18+H18-C18-E18</f>
        <v>0</v>
      </c>
      <c r="J18" s="16">
        <f>C18-G18</f>
        <v>-232665</v>
      </c>
      <c r="K18" s="16"/>
    </row>
    <row r="19" ht="20.05" customHeight="1">
      <c r="B19" s="29"/>
      <c r="C19" s="15">
        <v>44771</v>
      </c>
      <c r="D19" s="16">
        <v>373719</v>
      </c>
      <c r="E19" s="16">
        <f>D19-C19</f>
        <v>328948</v>
      </c>
      <c r="F19" s="16">
        <v>51929</v>
      </c>
      <c r="G19" s="16">
        <v>255827</v>
      </c>
      <c r="H19" s="16">
        <v>117892</v>
      </c>
      <c r="I19" s="16">
        <f>G19+H19-C19-E19</f>
        <v>0</v>
      </c>
      <c r="J19" s="16">
        <f>C19-G19</f>
        <v>-211056</v>
      </c>
      <c r="K19" s="16"/>
    </row>
    <row r="20" ht="20.05" customHeight="1">
      <c r="B20" s="30">
        <v>2019</v>
      </c>
      <c r="C20" s="15">
        <v>37988</v>
      </c>
      <c r="D20" s="16">
        <v>341998</v>
      </c>
      <c r="E20" s="16">
        <f>D20-C20</f>
        <v>304010</v>
      </c>
      <c r="F20" s="16">
        <v>54290</v>
      </c>
      <c r="G20" s="16">
        <v>236138</v>
      </c>
      <c r="H20" s="16">
        <v>105860</v>
      </c>
      <c r="I20" s="16">
        <f>G20+H20-C20-E20</f>
        <v>0</v>
      </c>
      <c r="J20" s="16">
        <f>C20-G20</f>
        <v>-198150</v>
      </c>
      <c r="K20" s="16"/>
    </row>
    <row r="21" ht="20.05" customHeight="1">
      <c r="B21" s="29"/>
      <c r="C21" s="15">
        <v>50530</v>
      </c>
      <c r="D21" s="16">
        <v>322239</v>
      </c>
      <c r="E21" s="16">
        <f>D21-C21</f>
        <v>271709</v>
      </c>
      <c r="F21" s="16">
        <v>56348</v>
      </c>
      <c r="G21" s="16">
        <v>225783</v>
      </c>
      <c r="H21" s="16">
        <v>96456</v>
      </c>
      <c r="I21" s="16">
        <f>G21+H21-C21-E21</f>
        <v>0</v>
      </c>
      <c r="J21" s="16">
        <f>C21-G21</f>
        <v>-175253</v>
      </c>
      <c r="K21" s="16"/>
    </row>
    <row r="22" ht="20.05" customHeight="1">
      <c r="B22" s="29"/>
      <c r="C22" s="15">
        <v>48844</v>
      </c>
      <c r="D22" s="16">
        <v>338516</v>
      </c>
      <c r="E22" s="16">
        <f>D22-C22</f>
        <v>289672</v>
      </c>
      <c r="F22" s="16">
        <v>58579</v>
      </c>
      <c r="G22" s="16">
        <v>248028</v>
      </c>
      <c r="H22" s="16">
        <v>90488</v>
      </c>
      <c r="I22" s="16">
        <f>G22+H22-C22-E22</f>
        <v>0</v>
      </c>
      <c r="J22" s="16">
        <f>C22-G22</f>
        <v>-199184</v>
      </c>
      <c r="K22" s="16"/>
    </row>
    <row r="23" ht="20.05" customHeight="1">
      <c r="B23" s="29"/>
      <c r="C23" s="15">
        <v>39771</v>
      </c>
      <c r="D23" s="16">
        <v>340618</v>
      </c>
      <c r="E23" s="16">
        <f>D23-C23</f>
        <v>300847</v>
      </c>
      <c r="F23" s="16">
        <v>60959</v>
      </c>
      <c r="G23" s="16">
        <v>251087</v>
      </c>
      <c r="H23" s="16">
        <v>89531</v>
      </c>
      <c r="I23" s="16">
        <f>G23+H23-C23-E23</f>
        <v>0</v>
      </c>
      <c r="J23" s="16">
        <f>C23-G23</f>
        <v>-211316</v>
      </c>
      <c r="K23" s="16"/>
    </row>
    <row r="24" ht="20.05" customHeight="1">
      <c r="B24" s="30">
        <v>2020</v>
      </c>
      <c r="C24" s="15">
        <v>40174</v>
      </c>
      <c r="D24" s="16">
        <v>320400</v>
      </c>
      <c r="E24" s="16">
        <f>D24-C24</f>
        <v>280226</v>
      </c>
      <c r="F24" s="16">
        <f>F23+'Cashflow '!D24</f>
        <v>65023</v>
      </c>
      <c r="G24" s="16">
        <v>241975</v>
      </c>
      <c r="H24" s="16">
        <v>78425</v>
      </c>
      <c r="I24" s="16">
        <f>G24+H24-C24-E24</f>
        <v>0</v>
      </c>
      <c r="J24" s="16">
        <f>C24-G24</f>
        <v>-201801</v>
      </c>
      <c r="K24" s="16"/>
    </row>
    <row r="25" ht="20.05" customHeight="1">
      <c r="B25" s="29"/>
      <c r="C25" s="15">
        <v>33383</v>
      </c>
      <c r="D25" s="16">
        <v>317344</v>
      </c>
      <c r="E25" s="16">
        <f>D25-C25</f>
        <v>283961</v>
      </c>
      <c r="F25" s="16">
        <f>F24+'Cashflow '!D25</f>
        <v>70471</v>
      </c>
      <c r="G25" s="16">
        <v>245062</v>
      </c>
      <c r="H25" s="16">
        <v>72282</v>
      </c>
      <c r="I25" s="16">
        <f>G25+H25-C25-E25</f>
        <v>0</v>
      </c>
      <c r="J25" s="16">
        <f>C25-G25</f>
        <v>-211679</v>
      </c>
      <c r="K25" s="16"/>
    </row>
    <row r="26" ht="20.05" customHeight="1">
      <c r="B26" s="29"/>
      <c r="C26" s="15">
        <v>38016</v>
      </c>
      <c r="D26" s="16">
        <v>323888</v>
      </c>
      <c r="E26" s="16">
        <f>D26-C26</f>
        <v>285872</v>
      </c>
      <c r="F26" s="16">
        <f>F25+'Cashflow '!D26</f>
        <v>74497</v>
      </c>
      <c r="G26" s="16">
        <v>258549</v>
      </c>
      <c r="H26" s="16">
        <v>65339</v>
      </c>
      <c r="I26" s="16">
        <f>G26+H26-C26-E26</f>
        <v>0</v>
      </c>
      <c r="J26" s="16">
        <f>C26-G26</f>
        <v>-220533</v>
      </c>
      <c r="K26" s="16"/>
    </row>
    <row r="27" ht="20.05" customHeight="1">
      <c r="B27" s="29"/>
      <c r="C27" s="15">
        <v>36010</v>
      </c>
      <c r="D27" s="16">
        <v>354054</v>
      </c>
      <c r="E27" s="16">
        <f>D27-C27</f>
        <v>318044</v>
      </c>
      <c r="F27" s="16">
        <f>F26+'Cashflow '!D27</f>
        <v>79130</v>
      </c>
      <c r="G27" s="16">
        <v>287830</v>
      </c>
      <c r="H27" s="16">
        <v>66224</v>
      </c>
      <c r="I27" s="16">
        <f>G27+H27-C27-E27</f>
        <v>0</v>
      </c>
      <c r="J27" s="16">
        <f>C27-G27</f>
        <v>-251820</v>
      </c>
      <c r="K27" s="16"/>
    </row>
    <row r="28" ht="20.05" customHeight="1">
      <c r="B28" s="30">
        <v>2021</v>
      </c>
      <c r="C28" s="15">
        <v>38466</v>
      </c>
      <c r="D28" s="16">
        <v>337158</v>
      </c>
      <c r="E28" s="16">
        <f>D28-C28</f>
        <v>298692</v>
      </c>
      <c r="F28" s="16">
        <f>F27+'Cashflow '!D28</f>
        <v>83280</v>
      </c>
      <c r="G28" s="16">
        <v>267980</v>
      </c>
      <c r="H28" s="16">
        <v>69178</v>
      </c>
      <c r="I28" s="16">
        <f>G28+H28-C28-E28</f>
        <v>0</v>
      </c>
      <c r="J28" s="16">
        <f>C28-G28</f>
        <v>-229514</v>
      </c>
      <c r="K28" s="16"/>
    </row>
    <row r="29" ht="20.05" customHeight="1">
      <c r="B29" s="29"/>
      <c r="C29" s="15">
        <v>34050</v>
      </c>
      <c r="D29" s="16">
        <v>329840</v>
      </c>
      <c r="E29" s="16">
        <f>D29-C29</f>
        <v>295790</v>
      </c>
      <c r="F29" s="16">
        <f>F28+'Cashflow '!D29</f>
        <v>87327</v>
      </c>
      <c r="G29" s="16">
        <v>265560</v>
      </c>
      <c r="H29" s="16">
        <v>64280</v>
      </c>
      <c r="I29" s="16">
        <f>G29+H29-C29-E29</f>
        <v>0</v>
      </c>
      <c r="J29" s="16">
        <f>C29-G29</f>
        <v>-231510</v>
      </c>
      <c r="K29" s="16"/>
    </row>
    <row r="30" ht="20.05" customHeight="1">
      <c r="B30" s="29"/>
      <c r="C30" s="15">
        <v>34940</v>
      </c>
      <c r="D30" s="16">
        <v>351002</v>
      </c>
      <c r="E30" s="16">
        <f>D30-C30</f>
        <v>316062</v>
      </c>
      <c r="F30" s="16">
        <f>F29+'Cashflow '!D30</f>
        <v>88766</v>
      </c>
      <c r="G30" s="16">
        <v>287912</v>
      </c>
      <c r="H30" s="16">
        <v>63090</v>
      </c>
      <c r="I30" s="16">
        <f>G30+H30-C30-E30</f>
        <v>0</v>
      </c>
      <c r="J30" s="16">
        <f>C30-G30</f>
        <v>-252972</v>
      </c>
      <c r="K30" s="16"/>
    </row>
    <row r="31" ht="20.05" customHeight="1">
      <c r="B31" s="29"/>
      <c r="C31" s="15">
        <v>37119</v>
      </c>
      <c r="D31" s="16">
        <v>381192</v>
      </c>
      <c r="E31" s="16">
        <f>D31-C31</f>
        <v>344073</v>
      </c>
      <c r="F31" s="16">
        <f>F30+'Cashflow '!D31</f>
        <v>94577</v>
      </c>
      <c r="G31" s="16">
        <v>309259</v>
      </c>
      <c r="H31" s="16">
        <f>D31-G31</f>
        <v>71933</v>
      </c>
      <c r="I31" s="16">
        <f>G31+H31-C31-E31</f>
        <v>0</v>
      </c>
      <c r="J31" s="16">
        <f>C31-G31</f>
        <v>-272140</v>
      </c>
      <c r="K31" s="21"/>
    </row>
    <row r="32" ht="20.05" customHeight="1">
      <c r="B32" s="30">
        <v>2022</v>
      </c>
      <c r="C32" s="15">
        <f>C31+'Cashflow '!F32+'Cashflow '!G32+'Cashflow '!J32</f>
        <v>27666</v>
      </c>
      <c r="D32" s="16">
        <v>350662</v>
      </c>
      <c r="E32" s="16">
        <f>D32-C32</f>
        <v>322996</v>
      </c>
      <c r="F32" s="16">
        <f>F31+'Cashflow '!D32</f>
        <v>99785</v>
      </c>
      <c r="G32" s="16">
        <v>283263</v>
      </c>
      <c r="H32" s="16">
        <f>D32-G32</f>
        <v>67399</v>
      </c>
      <c r="I32" s="16">
        <f>G32+H32-C32-E32</f>
        <v>0</v>
      </c>
      <c r="J32" s="16">
        <f>C32-G32</f>
        <v>-255597</v>
      </c>
      <c r="K32" s="16">
        <f>J32</f>
        <v>-255597</v>
      </c>
    </row>
    <row r="33" ht="20.05" customHeight="1">
      <c r="B33" s="29"/>
      <c r="C33" s="15"/>
      <c r="D33" s="16"/>
      <c r="E33" s="16"/>
      <c r="F33" s="16"/>
      <c r="G33" s="16"/>
      <c r="H33" s="16"/>
      <c r="I33" s="16"/>
      <c r="J33" s="16"/>
      <c r="K33" s="16">
        <f>'Model'!F31</f>
        <v>-236585.784561499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5859" style="35" customWidth="1"/>
    <col min="2" max="5" width="8.75" style="35" customWidth="1"/>
    <col min="6" max="16384" width="16.3516" style="35" customWidth="1"/>
  </cols>
  <sheetData>
    <row r="1" ht="14.7" customHeight="1"/>
    <row r="2" ht="27.65" customHeight="1">
      <c r="B2" t="s" s="2">
        <v>56</v>
      </c>
      <c r="C2" s="2"/>
      <c r="D2" s="2"/>
      <c r="E2" s="2"/>
    </row>
    <row r="3" ht="20.25" customHeight="1">
      <c r="B3" s="4"/>
      <c r="C3" t="s" s="36">
        <v>57</v>
      </c>
      <c r="D3" t="s" s="36">
        <v>58</v>
      </c>
      <c r="E3" t="s" s="36">
        <v>59</v>
      </c>
    </row>
    <row r="4" ht="20.25" customHeight="1">
      <c r="B4" s="25">
        <v>2018</v>
      </c>
      <c r="C4" s="33">
        <v>39.988998</v>
      </c>
      <c r="D4" s="8"/>
      <c r="E4" s="8"/>
    </row>
    <row r="5" ht="20.05" customHeight="1">
      <c r="B5" s="29"/>
      <c r="C5" s="15">
        <v>46.223221</v>
      </c>
      <c r="D5" s="21"/>
      <c r="E5" s="21"/>
    </row>
    <row r="6" ht="20.05" customHeight="1">
      <c r="B6" s="29"/>
      <c r="C6" s="15">
        <v>53.349594</v>
      </c>
      <c r="D6" s="21"/>
      <c r="E6" s="21"/>
    </row>
    <row r="7" ht="20.05" customHeight="1">
      <c r="B7" s="29"/>
      <c r="C7" s="15">
        <v>40.713184</v>
      </c>
      <c r="D7" s="21"/>
      <c r="E7" s="21"/>
    </row>
    <row r="8" ht="20.05" customHeight="1">
      <c r="B8" s="30">
        <v>2019</v>
      </c>
      <c r="C8" s="15">
        <v>49.296772</v>
      </c>
      <c r="D8" s="21"/>
      <c r="E8" s="21"/>
    </row>
    <row r="9" ht="20.05" customHeight="1">
      <c r="B9" s="29"/>
      <c r="C9" s="15">
        <v>52.53714</v>
      </c>
      <c r="D9" s="21"/>
      <c r="E9" s="21"/>
    </row>
    <row r="10" ht="20.05" customHeight="1">
      <c r="B10" s="29"/>
      <c r="C10" s="15">
        <v>61.579021</v>
      </c>
      <c r="D10" s="21"/>
      <c r="E10" s="21"/>
    </row>
    <row r="11" ht="20.05" customHeight="1">
      <c r="B11" s="29"/>
      <c r="C11" s="15">
        <v>76.847343</v>
      </c>
      <c r="D11" s="21"/>
      <c r="E11" s="21"/>
    </row>
    <row r="12" ht="20.05" customHeight="1">
      <c r="B12" s="30">
        <v>2020</v>
      </c>
      <c r="C12" s="15">
        <v>73.119873</v>
      </c>
      <c r="D12" s="21"/>
      <c r="E12" s="21"/>
    </row>
    <row r="13" ht="20.05" customHeight="1">
      <c r="B13" s="29"/>
      <c r="C13" s="15">
        <v>106.068756</v>
      </c>
      <c r="D13" s="21"/>
      <c r="E13" s="21"/>
    </row>
    <row r="14" ht="20.05" customHeight="1">
      <c r="B14" s="29"/>
      <c r="C14" s="15">
        <v>115.32</v>
      </c>
      <c r="D14" s="21"/>
      <c r="E14" s="20">
        <v>139.979591143936</v>
      </c>
    </row>
    <row r="15" ht="20.05" customHeight="1">
      <c r="B15" s="29"/>
      <c r="C15" s="15">
        <v>132.690002</v>
      </c>
      <c r="D15" s="21"/>
      <c r="E15" s="20">
        <v>151.741266480731</v>
      </c>
    </row>
    <row r="16" ht="20.05" customHeight="1">
      <c r="B16" s="30">
        <v>2021</v>
      </c>
      <c r="C16" s="15">
        <v>121.942871</v>
      </c>
      <c r="D16" s="21"/>
      <c r="E16" s="20">
        <v>245.853615737473</v>
      </c>
    </row>
    <row r="17" ht="20.05" customHeight="1">
      <c r="B17" s="29"/>
      <c r="C17" s="15">
        <v>136.960007</v>
      </c>
      <c r="D17" s="21"/>
      <c r="E17" s="20">
        <v>245.853615737473</v>
      </c>
    </row>
    <row r="18" ht="20.05" customHeight="1">
      <c r="B18" s="29"/>
      <c r="C18" s="15">
        <v>142.65</v>
      </c>
      <c r="D18" s="21"/>
      <c r="E18" s="21"/>
    </row>
    <row r="19" ht="20.05" customHeight="1">
      <c r="B19" s="29"/>
      <c r="C19" s="15">
        <v>177.57</v>
      </c>
      <c r="D19" s="21"/>
      <c r="E19" s="21"/>
    </row>
    <row r="20" ht="20.05" customHeight="1">
      <c r="B20" s="30">
        <v>2022</v>
      </c>
      <c r="C20" s="15">
        <v>159.22</v>
      </c>
      <c r="D20" s="21"/>
      <c r="E20" s="20">
        <v>227.494073652006</v>
      </c>
    </row>
    <row r="21" ht="20.05" customHeight="1">
      <c r="B21" s="29"/>
      <c r="C21" s="15">
        <v>157.65</v>
      </c>
      <c r="D21" s="20">
        <f>C21</f>
        <v>157.65</v>
      </c>
      <c r="E21" s="20">
        <v>191.948124643880</v>
      </c>
    </row>
    <row r="22" ht="20.05" customHeight="1">
      <c r="B22" s="29"/>
      <c r="C22" s="15"/>
      <c r="D22" s="20">
        <f>'Model'!F44</f>
        <v>178.100824056234</v>
      </c>
      <c r="E22" s="21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