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<sst xmlns="http://schemas.openxmlformats.org/spreadsheetml/2006/main" uniqueCount="58">
  <si>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</si>
  <si>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 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</si>
  <si>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</si>
  <si>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</si>
  <si>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</si>
  <si>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</si>
  <si>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</si>
  <si>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</si>
  <si>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</si>
  <si>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</si>
  <si>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</si>
  <si>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</si>
  <si>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</si>
  <si>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</si>
  <si>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</si>
  <si>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</si>
  <si>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</si>
  <si>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</si>
  <si>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>Profit</t>
  </si>
  <si>
    <t xml:space="preserve">Non cash costs </t>
  </si>
  <si>
    <t>Net profit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</si>
  <si>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</si>
  <si>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</si>
  <si>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</si>
  <si>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</si>
  <si>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</si>
  <si>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</si>
  <si>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</si>
  <si>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</si>
  <si>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</si>
  <si>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</si>
  <si>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</si>
  <si>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</si>
  <si>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</si>
  <si>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</si>
  <si>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</si>
  <si>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</si>
  <si>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</si>
  <si>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</si>
  <si>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</si>
  <si>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</si>
  <si>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Rpbn</t>
  </si>
  <si>
    <t xml:space="preserve">Sales growth </t>
  </si>
  <si>
    <t xml:space="preserve">Cost ratio </t>
  </si>
  <si>
    <t>Cashflow costs</t>
  </si>
  <si>
    <t xml:space="preserve">Receipts </t>
  </si>
  <si>
    <t>Capex</t>
  </si>
  <si>
    <t xml:space="preserve">Operating </t>
  </si>
  <si>
    <t xml:space="preserve">Investment </t>
  </si>
  <si>
    <t>Leases</t>
  </si>
  <si>
    <t xml:space="preserve">Equity </t>
  </si>
  <si>
    <t xml:space="preserve">Free cashflow </t>
  </si>
  <si>
    <t xml:space="preserve">Cash </t>
  </si>
  <si>
    <t>Assets</t>
  </si>
  <si>
    <t xml:space="preserve">Check </t>
  </si>
  <si>
    <t>WOOD</t>
  </si>
  <si>
    <t>Wood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</si>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</sst>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_);[Red]\(0\)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0"/>
      <color indexed="1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5"/>
      </bottom>
      <diagonal/>
    </border>
    <border>
      <left style="thin">
        <color indexed="11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center" vertical="top" wrapText="1"/>
    </xf>
    <xf numFmtId="3" fontId="3" borderId="9" applyNumberFormat="1" applyFont="1" applyFill="0" applyBorder="1" applyAlignment="1" applyProtection="0">
      <alignment horizontal="right" vertical="center" wrapText="1" readingOrder="1"/>
    </xf>
    <xf numFmtId="0" fontId="3" borderId="10" applyNumberFormat="0" applyFont="1" applyFill="0" applyBorder="1" applyAlignment="1" applyProtection="0">
      <alignment horizontal="right" vertical="center" wrapText="1" readingOrder="1"/>
    </xf>
    <xf numFmtId="3" fontId="3" borderId="11" applyNumberFormat="1" applyFont="1" applyFill="0" applyBorder="1" applyAlignment="1" applyProtection="0">
      <alignment horizontal="right" vertical="center" wrapText="1" readingOrder="1"/>
    </xf>
    <xf numFmtId="0" fontId="3" borderId="12" applyNumberFormat="0" applyFont="1" applyFill="0" applyBorder="1" applyAlignment="1" applyProtection="0">
      <alignment horizontal="right" vertical="center" wrapText="1" readingOrder="1"/>
    </xf>
    <xf numFmtId="3" fontId="3" borderId="13" applyNumberFormat="1" applyFont="1" applyFill="0" applyBorder="1" applyAlignment="1" applyProtection="0">
      <alignment horizontal="right" vertical="center" wrapText="1" readingOrder="1"/>
    </xf>
    <xf numFmtId="60" fontId="4" borderId="6" applyNumberFormat="1" applyFont="1" applyFill="0" applyBorder="1" applyAlignment="1" applyProtection="0">
      <alignment horizontal="right" vertical="center" wrapText="1" readingOrder="1"/>
    </xf>
    <xf numFmtId="0" fontId="3" fillId="5" borderId="12" applyNumberFormat="0" applyFont="1" applyFill="1" applyBorder="1" applyAlignment="1" applyProtection="0">
      <alignment horizontal="right" vertical="center" wrapText="1" readingOrder="1"/>
    </xf>
    <xf numFmtId="0" fontId="3" borderId="14" applyNumberFormat="0" applyFont="1" applyFill="0" applyBorder="1" applyAlignment="1" applyProtection="0">
      <alignment horizontal="right" vertical="center" wrapText="1" readingOrder="1"/>
    </xf>
    <xf numFmtId="0" fontId="0" borderId="7" applyNumberFormat="0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474747"/>
      <rgbColor rgb="ffd9d9d9"/>
      <rgbColor rgb="ff333333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572182</xdr:colOff>
      <xdr:row>2</xdr:row>
      <xdr:rowOff>58648</xdr:rowOff>
    </xdr:from>
    <xdr:to>
      <xdr:col>13</xdr:col>
      <xdr:colOff>947763</xdr:colOff>
      <xdr:row>46</xdr:row>
      <xdr:rowOff>227244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25182" y="698093"/>
          <a:ext cx="9087782" cy="113776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4766" style="1" customWidth="1"/>
    <col min="2" max="2" width="14.7656" style="1" customWidth="1"/>
    <col min="3" max="6" width="8.66406" style="1" customWidth="1"/>
    <col min="7" max="16384" width="16.3516" style="1" customWidth="1"/>
  </cols>
  <sheetData>
    <row r="1" ht="22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AVERAGE('Sales'!G18:G21)</f>
        <v>0.188849769990937</v>
      </c>
      <c r="D4" s="8"/>
      <c r="E4" s="8"/>
      <c r="F4" s="9">
        <f>AVERAGE(C5:F5)</f>
        <v>0.055</v>
      </c>
    </row>
    <row r="5" ht="20.05" customHeight="1">
      <c r="B5" t="s" s="10">
        <v>4</v>
      </c>
      <c r="C5" s="11">
        <v>0.2</v>
      </c>
      <c r="D5" s="12">
        <v>-0.15</v>
      </c>
      <c r="E5" s="12">
        <v>0.07000000000000001</v>
      </c>
      <c r="F5" s="12">
        <v>0.1</v>
      </c>
    </row>
    <row r="6" ht="20.05" customHeight="1">
      <c r="B6" t="s" s="10">
        <v>5</v>
      </c>
      <c r="C6" s="13">
        <f>'Sales'!C21*(1+C5)</f>
        <v>1656.96</v>
      </c>
      <c r="D6" s="14">
        <f>C6*(1+D5)</f>
        <v>1408.416</v>
      </c>
      <c r="E6" s="14">
        <f>D6*(1+E5)</f>
        <v>1507.00512</v>
      </c>
      <c r="F6" s="14">
        <f>E6*(1+F5)</f>
        <v>1657.705632</v>
      </c>
    </row>
    <row r="7" ht="20.05" customHeight="1">
      <c r="B7" t="s" s="10">
        <v>6</v>
      </c>
      <c r="C7" s="15">
        <f>AVERAGE('Sales'!H14)</f>
        <v>-0.93018018018018</v>
      </c>
      <c r="D7" s="16">
        <f>C7</f>
        <v>-0.93018018018018</v>
      </c>
      <c r="E7" s="16">
        <f>D7</f>
        <v>-0.93018018018018</v>
      </c>
      <c r="F7" s="16">
        <f>E7</f>
        <v>-0.93018018018018</v>
      </c>
    </row>
    <row r="8" ht="20.05" customHeight="1">
      <c r="B8" t="s" s="10">
        <v>7</v>
      </c>
      <c r="C8" s="17">
        <f>C7*C6</f>
        <v>-1541.271351351350</v>
      </c>
      <c r="D8" s="18">
        <f>D7*D6</f>
        <v>-1310.080648648650</v>
      </c>
      <c r="E8" s="18">
        <f>E7*E6</f>
        <v>-1401.786294054050</v>
      </c>
      <c r="F8" s="18">
        <f>F7*F6</f>
        <v>-1541.964923459460</v>
      </c>
    </row>
    <row r="9" ht="20.05" customHeight="1">
      <c r="B9" t="s" s="10">
        <v>8</v>
      </c>
      <c r="C9" s="17">
        <f>C6+C8</f>
        <v>115.688648648650</v>
      </c>
      <c r="D9" s="18">
        <f>D6+D8</f>
        <v>98.335351351350</v>
      </c>
      <c r="E9" s="18">
        <f>E6+E8</f>
        <v>105.218825945950</v>
      </c>
      <c r="F9" s="18">
        <f>F6+F8</f>
        <v>115.740708540540</v>
      </c>
    </row>
    <row r="10" ht="20.05" customHeight="1">
      <c r="B10" t="s" s="10">
        <v>9</v>
      </c>
      <c r="C10" s="17">
        <f>'Cashflow'!F22</f>
        <v>-65.3</v>
      </c>
      <c r="D10" s="18">
        <f>C10</f>
        <v>-65.3</v>
      </c>
      <c r="E10" s="18">
        <f>D10</f>
        <v>-65.3</v>
      </c>
      <c r="F10" s="18">
        <f>E10</f>
        <v>-65.3</v>
      </c>
    </row>
    <row r="11" ht="20.05" customHeight="1">
      <c r="B11" t="s" s="10">
        <v>10</v>
      </c>
      <c r="C11" s="17">
        <f>C12+C13+C15</f>
        <v>-50.388648648650</v>
      </c>
      <c r="D11" s="18">
        <f>D12+D13+D15</f>
        <v>-33.035351351350</v>
      </c>
      <c r="E11" s="18">
        <f>E12+E13+E15</f>
        <v>-39.918825945950</v>
      </c>
      <c r="F11" s="18">
        <f>F12+F13+F15</f>
        <v>-50.440708540540</v>
      </c>
    </row>
    <row r="12" ht="20.05" customHeight="1">
      <c r="B12" t="s" s="10">
        <v>11</v>
      </c>
      <c r="C12" s="17">
        <f>-'Balance Sheet '!F21/4</f>
        <v>-762</v>
      </c>
      <c r="D12" s="18">
        <f>-C26/4</f>
        <v>-571.5</v>
      </c>
      <c r="E12" s="18">
        <f>-D26/4</f>
        <v>-428.625</v>
      </c>
      <c r="F12" s="18">
        <f>-E26/4</f>
        <v>-321.46875</v>
      </c>
    </row>
    <row r="13" ht="20.05" customHeight="1">
      <c r="B13" t="s" s="10">
        <v>12</v>
      </c>
      <c r="C13" s="17">
        <f>IF(C21&gt;0,-C21*0.1,0)</f>
        <v>-9.118864864864999</v>
      </c>
      <c r="D13" s="18">
        <f>IF(D21&gt;0,-D21*0.1,0)</f>
        <v>-7.383535135135</v>
      </c>
      <c r="E13" s="18">
        <f>IF(E21&gt;0,-E21*0.1,0)</f>
        <v>-8.071882594594999</v>
      </c>
      <c r="F13" s="18">
        <f>IF(F21&gt;0,-F21*0.1,0)</f>
        <v>-9.124070854054001</v>
      </c>
    </row>
    <row r="14" ht="20.05" customHeight="1">
      <c r="B14" t="s" s="10">
        <v>13</v>
      </c>
      <c r="C14" s="17">
        <f>C9+C10+C12+C13</f>
        <v>-720.730216216215</v>
      </c>
      <c r="D14" s="18">
        <f>D9+D10+D12+D13</f>
        <v>-545.848183783785</v>
      </c>
      <c r="E14" s="18">
        <f>E9+E10+E12+E13</f>
        <v>-396.778056648645</v>
      </c>
      <c r="F14" s="18">
        <f>F9+F10+F12+F13</f>
        <v>-280.152112313514</v>
      </c>
    </row>
    <row r="15" ht="20.05" customHeight="1">
      <c r="B15" t="s" s="10">
        <v>14</v>
      </c>
      <c r="C15" s="17">
        <f>-MIN(0,C14)</f>
        <v>720.730216216215</v>
      </c>
      <c r="D15" s="18">
        <f>-MIN(C27,D14)</f>
        <v>545.848183783785</v>
      </c>
      <c r="E15" s="18">
        <f>-MIN(D27,E14)</f>
        <v>396.778056648645</v>
      </c>
      <c r="F15" s="18">
        <f>-MIN(E27,F14)</f>
        <v>280.152112313514</v>
      </c>
    </row>
    <row r="16" ht="20.05" customHeight="1">
      <c r="B16" t="s" s="10">
        <v>15</v>
      </c>
      <c r="C16" s="17">
        <f>'Balance Sheet '!B21</f>
        <v>25</v>
      </c>
      <c r="D16" s="18">
        <f>C18</f>
        <v>25</v>
      </c>
      <c r="E16" s="18">
        <f>D18</f>
        <v>25</v>
      </c>
      <c r="F16" s="18">
        <f>E18</f>
        <v>25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25</v>
      </c>
      <c r="D18" s="18">
        <f>D16+D17</f>
        <v>25</v>
      </c>
      <c r="E18" s="18">
        <f>E16+E17</f>
        <v>25</v>
      </c>
      <c r="F18" s="18">
        <f>F16+F17</f>
        <v>25</v>
      </c>
    </row>
    <row r="19" ht="20.05" customHeight="1">
      <c r="B19" t="s" s="19">
        <v>18</v>
      </c>
      <c r="C19" s="20"/>
      <c r="D19" s="21"/>
      <c r="E19" s="18"/>
      <c r="F19" s="22"/>
    </row>
    <row r="20" ht="20.05" customHeight="1">
      <c r="B20" t="s" s="10">
        <v>19</v>
      </c>
      <c r="C20" s="17">
        <f>-'Sales'!E21</f>
        <v>-24.5</v>
      </c>
      <c r="D20" s="18">
        <f>C20</f>
        <v>-24.5</v>
      </c>
      <c r="E20" s="18">
        <f>D20</f>
        <v>-24.5</v>
      </c>
      <c r="F20" s="18">
        <f>E20</f>
        <v>-24.5</v>
      </c>
    </row>
    <row r="21" ht="20.05" customHeight="1">
      <c r="B21" t="s" s="10">
        <v>20</v>
      </c>
      <c r="C21" s="17">
        <f>C6+C8+C20</f>
        <v>91.188648648650</v>
      </c>
      <c r="D21" s="18">
        <f>D6+D8+D20</f>
        <v>73.835351351350</v>
      </c>
      <c r="E21" s="18">
        <f>E6+E8+E20</f>
        <v>80.718825945950</v>
      </c>
      <c r="F21" s="18">
        <f>F6+F8+F20</f>
        <v>91.240708540540</v>
      </c>
    </row>
    <row r="22" ht="20.05" customHeight="1">
      <c r="B22" t="s" s="19">
        <v>21</v>
      </c>
      <c r="C22" s="20"/>
      <c r="D22" s="21"/>
      <c r="E22" s="21"/>
      <c r="F22" s="21"/>
    </row>
    <row r="23" ht="20.05" customHeight="1">
      <c r="B23" t="s" s="10">
        <v>22</v>
      </c>
      <c r="C23" s="17">
        <f>'Balance Sheet '!D21+'Balance Sheet '!E21-C10</f>
        <v>7157.3</v>
      </c>
      <c r="D23" s="18">
        <f>C23-D10</f>
        <v>7222.6</v>
      </c>
      <c r="E23" s="18">
        <f>D23-E10</f>
        <v>7287.9</v>
      </c>
      <c r="F23" s="18">
        <f>E23-F10</f>
        <v>7353.2</v>
      </c>
    </row>
    <row r="24" ht="20.05" customHeight="1">
      <c r="B24" t="s" s="10">
        <v>23</v>
      </c>
      <c r="C24" s="17">
        <f>'Balance Sheet '!E21-C20</f>
        <v>653.5</v>
      </c>
      <c r="D24" s="18">
        <f>C24-D20</f>
        <v>678</v>
      </c>
      <c r="E24" s="18">
        <f>D24-E20</f>
        <v>702.5</v>
      </c>
      <c r="F24" s="18">
        <f>E24-F20</f>
        <v>727</v>
      </c>
    </row>
    <row r="25" ht="20.05" customHeight="1">
      <c r="B25" t="s" s="10">
        <v>24</v>
      </c>
      <c r="C25" s="17">
        <f>C23-C24</f>
        <v>6503.8</v>
      </c>
      <c r="D25" s="18">
        <f>D23-D24</f>
        <v>6544.6</v>
      </c>
      <c r="E25" s="18">
        <f>E23-E24</f>
        <v>6585.4</v>
      </c>
      <c r="F25" s="18">
        <f>F23-F24</f>
        <v>6626.2</v>
      </c>
    </row>
    <row r="26" ht="20.05" customHeight="1">
      <c r="B26" t="s" s="10">
        <v>11</v>
      </c>
      <c r="C26" s="17">
        <f>'Balance Sheet '!F21+C12</f>
        <v>2286</v>
      </c>
      <c r="D26" s="18">
        <f>C26+D12</f>
        <v>1714.5</v>
      </c>
      <c r="E26" s="18">
        <f>D26+E12</f>
        <v>1285.875</v>
      </c>
      <c r="F26" s="18">
        <f>E26+F12</f>
        <v>964.40625</v>
      </c>
    </row>
    <row r="27" ht="20.05" customHeight="1">
      <c r="B27" t="s" s="10">
        <v>14</v>
      </c>
      <c r="C27" s="17">
        <f>C15</f>
        <v>720.730216216215</v>
      </c>
      <c r="D27" s="18">
        <f>C27+D15</f>
        <v>1266.5784</v>
      </c>
      <c r="E27" s="18">
        <f>D27+E15</f>
        <v>1663.356456648650</v>
      </c>
      <c r="F27" s="18">
        <f>E27+F15</f>
        <v>1943.508568962160</v>
      </c>
    </row>
    <row r="28" ht="20.05" customHeight="1">
      <c r="B28" t="s" s="10">
        <v>12</v>
      </c>
      <c r="C28" s="17">
        <f>'Balance Sheet '!G21+C21+C13</f>
        <v>3522.069783783790</v>
      </c>
      <c r="D28" s="18">
        <f>C28+D21+D13</f>
        <v>3588.521600000010</v>
      </c>
      <c r="E28" s="18">
        <f>D28+E21+E13</f>
        <v>3661.168543351370</v>
      </c>
      <c r="F28" s="18">
        <f>E28+F21+F13</f>
        <v>3743.285181037860</v>
      </c>
    </row>
    <row r="29" ht="20.05" customHeight="1">
      <c r="B29" t="s" s="10">
        <v>25</v>
      </c>
      <c r="C29" s="23">
        <f>C26+C27+C28-C18-C25</f>
        <v>5e-12</v>
      </c>
      <c r="D29" s="24">
        <f>D26+D27+D28-D18-D25</f>
        <v>9.999999999999999e-12</v>
      </c>
      <c r="E29" s="24">
        <f>E26+E27+E28-E18-E25</f>
        <v>2e-11</v>
      </c>
      <c r="F29" s="24">
        <f>F26+F27+F28-F18-F25</f>
        <v>2e-11</v>
      </c>
    </row>
    <row r="30" ht="20.05" customHeight="1">
      <c r="B30" t="s" s="10">
        <v>26</v>
      </c>
      <c r="C30" s="17">
        <f>C18-C26-C27</f>
        <v>-2981.730216216220</v>
      </c>
      <c r="D30" s="18">
        <f>D18-D26-D27</f>
        <v>-2956.0784</v>
      </c>
      <c r="E30" s="18">
        <f>E18-E26-E27</f>
        <v>-2924.231456648650</v>
      </c>
      <c r="F30" s="18">
        <f>F18-F26-F27</f>
        <v>-2882.914818962160</v>
      </c>
    </row>
    <row r="31" ht="20.05" customHeight="1">
      <c r="B31" t="s" s="19">
        <v>27</v>
      </c>
      <c r="C31" s="17"/>
      <c r="D31" s="18"/>
      <c r="E31" s="18"/>
      <c r="F31" s="18"/>
    </row>
    <row r="32" ht="20.05" customHeight="1">
      <c r="B32" t="s" s="10">
        <v>28</v>
      </c>
      <c r="C32" s="17">
        <f>'Cashflow'!M22-C11</f>
        <v>-1719.521351351350</v>
      </c>
      <c r="D32" s="18">
        <f>C32-D11</f>
        <v>-1686.486</v>
      </c>
      <c r="E32" s="18">
        <f>D32-E11</f>
        <v>-1646.567174054050</v>
      </c>
      <c r="F32" s="18">
        <f>E32-F11</f>
        <v>-1596.126465513510</v>
      </c>
    </row>
    <row r="33" ht="20.05" customHeight="1">
      <c r="B33" t="s" s="10">
        <v>29</v>
      </c>
      <c r="C33" s="17"/>
      <c r="D33" s="18"/>
      <c r="E33" s="18"/>
      <c r="F33" s="18">
        <v>5631</v>
      </c>
    </row>
    <row r="34" ht="20.05" customHeight="1">
      <c r="B34" t="s" s="10">
        <v>30</v>
      </c>
      <c r="C34" s="17"/>
      <c r="D34" s="18"/>
      <c r="E34" s="18"/>
      <c r="F34" s="25">
        <f>F33/(F18+F25)</f>
        <v>0.846614144815973</v>
      </c>
    </row>
    <row r="35" ht="20.05" customHeight="1">
      <c r="B35" t="s" s="10">
        <v>31</v>
      </c>
      <c r="C35" s="17"/>
      <c r="D35" s="18"/>
      <c r="E35" s="18"/>
      <c r="F35" s="16">
        <f>-(C13+D13+E13+F13)/F33</f>
        <v>0.00598443499354449</v>
      </c>
    </row>
    <row r="36" ht="20.05" customHeight="1">
      <c r="B36" t="s" s="10">
        <v>3</v>
      </c>
      <c r="C36" s="17"/>
      <c r="D36" s="18"/>
      <c r="E36" s="18"/>
      <c r="F36" s="18">
        <f>SUM(C9:F10)</f>
        <v>173.783534486490</v>
      </c>
    </row>
    <row r="37" ht="20.05" customHeight="1">
      <c r="B37" t="s" s="10">
        <v>32</v>
      </c>
      <c r="C37" s="17"/>
      <c r="D37" s="18"/>
      <c r="E37" s="18"/>
      <c r="F37" s="18">
        <f>'Balance Sheet '!D21/F36</f>
        <v>37.1899444852322</v>
      </c>
    </row>
    <row r="38" ht="20.05" customHeight="1">
      <c r="B38" t="s" s="10">
        <v>27</v>
      </c>
      <c r="C38" s="17"/>
      <c r="D38" s="18"/>
      <c r="E38" s="18"/>
      <c r="F38" s="18">
        <f>F33/F36</f>
        <v>32.4023792969739</v>
      </c>
    </row>
    <row r="39" ht="20.05" customHeight="1">
      <c r="B39" t="s" s="10">
        <v>33</v>
      </c>
      <c r="C39" s="17"/>
      <c r="D39" s="18"/>
      <c r="E39" s="18"/>
      <c r="F39" s="18">
        <v>20</v>
      </c>
    </row>
    <row r="40" ht="20.05" customHeight="1">
      <c r="B40" t="s" s="10">
        <v>34</v>
      </c>
      <c r="C40" s="17"/>
      <c r="D40" s="18"/>
      <c r="E40" s="18"/>
      <c r="F40" s="18">
        <f>F36*F39</f>
        <v>3475.6706897298</v>
      </c>
    </row>
    <row r="41" ht="20.05" customHeight="1">
      <c r="B41" t="s" s="10">
        <v>35</v>
      </c>
      <c r="C41" s="17"/>
      <c r="D41" s="18"/>
      <c r="E41" s="18"/>
      <c r="F41" s="18">
        <f>F33/F43</f>
        <v>6.36271186440678</v>
      </c>
    </row>
    <row r="42" ht="20.05" customHeight="1">
      <c r="B42" t="s" s="10">
        <v>36</v>
      </c>
      <c r="C42" s="17"/>
      <c r="D42" s="18"/>
      <c r="E42" s="18"/>
      <c r="F42" s="18">
        <f>F40/F41</f>
        <v>546.256181923437</v>
      </c>
    </row>
    <row r="43" ht="20.05" customHeight="1">
      <c r="B43" t="s" s="10">
        <v>37</v>
      </c>
      <c r="C43" s="17"/>
      <c r="D43" s="18"/>
      <c r="E43" s="18"/>
      <c r="F43" s="18">
        <f>'Share price'!C62</f>
        <v>885</v>
      </c>
    </row>
    <row r="44" ht="20.05" customHeight="1">
      <c r="B44" t="s" s="10">
        <v>38</v>
      </c>
      <c r="C44" s="17"/>
      <c r="D44" s="18"/>
      <c r="E44" s="18"/>
      <c r="F44" s="16">
        <f>F42/F43-1</f>
        <v>-0.382761376357698</v>
      </c>
    </row>
    <row r="45" ht="20.05" customHeight="1">
      <c r="B45" t="s" s="10">
        <v>39</v>
      </c>
      <c r="C45" s="17"/>
      <c r="D45" s="18"/>
      <c r="E45" s="18"/>
      <c r="F45" s="16">
        <f>'Sales'!C21/'Sales'!C17-1</f>
        <v>0.83861517976032</v>
      </c>
    </row>
    <row r="46" ht="20.05" customHeight="1">
      <c r="B46" t="s" s="10">
        <v>40</v>
      </c>
      <c r="C46" s="17"/>
      <c r="D46" s="18"/>
      <c r="E46" s="18"/>
      <c r="F46" s="16">
        <f>('Sales'!D17+'Sales'!D21+'Sales'!D18+'Sales'!D19+'Sales'!D20)/('Sales'!C17+'Sales'!C18+'Sales'!C19+'Sales'!C21+'Sales'!C20)-1</f>
        <v>-0.187659645978042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7.79688" style="26" customWidth="1"/>
    <col min="2" max="2" width="9.76562" style="26" customWidth="1"/>
    <col min="3" max="10" width="10.1484" style="26" customWidth="1"/>
    <col min="11" max="16384" width="16.3516" style="26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4">
        <v>41</v>
      </c>
      <c r="C2" t="s" s="4">
        <v>5</v>
      </c>
      <c r="D2" t="s" s="4">
        <v>33</v>
      </c>
      <c r="E2" t="s" s="4">
        <v>23</v>
      </c>
      <c r="F2" t="s" s="4">
        <v>20</v>
      </c>
      <c r="G2" t="s" s="4">
        <v>42</v>
      </c>
      <c r="H2" t="s" s="4">
        <v>43</v>
      </c>
      <c r="I2" t="s" s="4">
        <v>44</v>
      </c>
      <c r="J2" t="s" s="4">
        <v>44</v>
      </c>
    </row>
    <row r="3" ht="20.25" customHeight="1">
      <c r="B3" s="27">
        <v>2017</v>
      </c>
      <c r="C3" s="28">
        <v>466.18</v>
      </c>
      <c r="D3" s="29"/>
      <c r="E3" s="29"/>
      <c r="F3" s="29">
        <v>54.39</v>
      </c>
      <c r="G3" s="9"/>
      <c r="H3" s="30">
        <f>(E3+F3-C3)/C3</f>
        <v>-0.883328328113604</v>
      </c>
      <c r="I3" s="30"/>
      <c r="J3" s="30">
        <f>('Cashflow'!E4-'Cashflow'!C4)/'Cashflow'!C4</f>
        <v>-1.0115551874094</v>
      </c>
    </row>
    <row r="4" ht="20.05" customHeight="1">
      <c r="B4" s="31"/>
      <c r="C4" s="13">
        <v>380.02</v>
      </c>
      <c r="D4" s="14"/>
      <c r="E4" s="14">
        <f>44-E3</f>
        <v>44</v>
      </c>
      <c r="F4" s="14">
        <f>90.7-F3</f>
        <v>36.31</v>
      </c>
      <c r="G4" s="16">
        <f>C4/C3-1</f>
        <v>-0.184821313655669</v>
      </c>
      <c r="H4" s="16">
        <f>(E4+F4-C4)/C4</f>
        <v>-0.788669017420136</v>
      </c>
      <c r="I4" s="16"/>
      <c r="J4" s="16">
        <f>('Cashflow'!E5-'Cashflow'!C5)/'Cashflow'!C5</f>
        <v>-1.04774722059684</v>
      </c>
    </row>
    <row r="5" ht="20.05" customHeight="1">
      <c r="B5" s="31"/>
      <c r="C5" s="13">
        <v>443</v>
      </c>
      <c r="D5" s="14"/>
      <c r="E5" s="14">
        <f>65-SUM(E3:E4)</f>
        <v>21</v>
      </c>
      <c r="F5" s="14">
        <v>40</v>
      </c>
      <c r="G5" s="16">
        <f>C5/C4-1</f>
        <v>0.165728119572654</v>
      </c>
      <c r="H5" s="16">
        <f>(E5+F5-C5)/C5</f>
        <v>-0.862302483069977</v>
      </c>
      <c r="I5" s="16"/>
      <c r="J5" s="16">
        <f>('Cashflow'!E6-'Cashflow'!C6)/'Cashflow'!C6</f>
        <v>-0.937759336099585</v>
      </c>
    </row>
    <row r="6" ht="20.05" customHeight="1">
      <c r="B6" s="31"/>
      <c r="C6" s="13">
        <v>445.27</v>
      </c>
      <c r="D6" s="14"/>
      <c r="E6" s="14">
        <f>91-SUM(E3:E5)</f>
        <v>26</v>
      </c>
      <c r="F6" s="14">
        <f>171.4-SUM(F3:F5)</f>
        <v>40.7</v>
      </c>
      <c r="G6" s="16">
        <f>C6/C5-1</f>
        <v>0.00512415349887133</v>
      </c>
      <c r="H6" s="16">
        <f>(E6+F6-C6)/C6</f>
        <v>-0.850203247467829</v>
      </c>
      <c r="I6" s="16"/>
      <c r="J6" s="16">
        <f>('Cashflow'!E7-'Cashflow'!C7)/'Cashflow'!C7</f>
        <v>-0.9308521667012229</v>
      </c>
    </row>
    <row r="7" ht="20.05" customHeight="1">
      <c r="B7" s="32">
        <v>2018</v>
      </c>
      <c r="C7" s="13">
        <v>468.39</v>
      </c>
      <c r="D7" s="14"/>
      <c r="E7" s="14">
        <v>22</v>
      </c>
      <c r="F7" s="14">
        <v>57.158</v>
      </c>
      <c r="G7" s="16">
        <f>C7/C6-1</f>
        <v>0.051923552002156</v>
      </c>
      <c r="H7" s="16">
        <f>(E7+F7-C7)/C7</f>
        <v>-0.830999807852431</v>
      </c>
      <c r="I7" s="16">
        <f>AVERAGE(J4:J7)</f>
        <v>-0.938831118817205</v>
      </c>
      <c r="J7" s="16">
        <f>('Cashflow'!E8-'Cashflow'!C8)/'Cashflow'!C8</f>
        <v>-0.8389657518711729</v>
      </c>
    </row>
    <row r="8" ht="20.05" customHeight="1">
      <c r="B8" s="31"/>
      <c r="C8" s="13">
        <v>436.91</v>
      </c>
      <c r="D8" s="14"/>
      <c r="E8" s="14">
        <f>45-E7</f>
        <v>23</v>
      </c>
      <c r="F8" s="14">
        <f>113.7-F7</f>
        <v>56.542</v>
      </c>
      <c r="G8" s="16">
        <f>C8/C7-1</f>
        <v>-0.06720894980678491</v>
      </c>
      <c r="H8" s="16">
        <f>(E8+F8-C8)/C8</f>
        <v>-0.817944199034126</v>
      </c>
      <c r="I8" s="16">
        <f>AVERAGE(J5:J8)</f>
        <v>-0.989743847622723</v>
      </c>
      <c r="J8" s="16">
        <f>('Cashflow'!E9-'Cashflow'!C9)/'Cashflow'!C9</f>
        <v>-1.25139813581891</v>
      </c>
    </row>
    <row r="9" ht="20.05" customHeight="1">
      <c r="B9" s="31"/>
      <c r="C9" s="13">
        <v>473.7</v>
      </c>
      <c r="D9" s="14"/>
      <c r="E9" s="14">
        <f>68-SUM(E7:E8)</f>
        <v>23</v>
      </c>
      <c r="F9" s="14">
        <f>181-SUM(F7:F8)</f>
        <v>67.3</v>
      </c>
      <c r="G9" s="16">
        <f>C9/C8-1</f>
        <v>0.08420498500835411</v>
      </c>
      <c r="H9" s="16">
        <f>(E9+F9-C9)/C9</f>
        <v>-0.809373020899303</v>
      </c>
      <c r="I9" s="16">
        <f>AVERAGE(J6:J9)</f>
        <v>-1.03083755018319</v>
      </c>
      <c r="J9" s="16">
        <f>('Cashflow'!E10-'Cashflow'!C10)/'Cashflow'!C10</f>
        <v>-1.10213414634146</v>
      </c>
    </row>
    <row r="10" ht="20.05" customHeight="1">
      <c r="B10" s="31"/>
      <c r="C10" s="13">
        <v>937</v>
      </c>
      <c r="D10" s="14"/>
      <c r="E10" s="14">
        <f>88-SUM(E7:E9)</f>
        <v>20</v>
      </c>
      <c r="F10" s="14">
        <f>242-SUM(F7:F9)</f>
        <v>61</v>
      </c>
      <c r="G10" s="16">
        <f>C10/C9-1</f>
        <v>0.978045176271902</v>
      </c>
      <c r="H10" s="16">
        <f>(E10+F10-C10)/C10</f>
        <v>-0.9135538954108861</v>
      </c>
      <c r="I10" s="16">
        <f>AVERAGE(J7:J10)</f>
        <v>-1.20700132010209</v>
      </c>
      <c r="J10" s="16">
        <f>('Cashflow'!E11-'Cashflow'!C11)/'Cashflow'!C11</f>
        <v>-1.63550724637681</v>
      </c>
    </row>
    <row r="11" ht="20.05" customHeight="1">
      <c r="B11" s="32">
        <v>2019</v>
      </c>
      <c r="C11" s="13">
        <v>492.5</v>
      </c>
      <c r="D11" s="14"/>
      <c r="E11" s="14">
        <v>39</v>
      </c>
      <c r="F11" s="14">
        <v>59.7</v>
      </c>
      <c r="G11" s="16">
        <f>C11/C10-1</f>
        <v>-0.474386339381003</v>
      </c>
      <c r="H11" s="16">
        <f>(E11+F11-C11)/C11</f>
        <v>-0.799593908629442</v>
      </c>
      <c r="I11" s="16">
        <f>AVERAGE(J8:J11)</f>
        <v>-1.25189035658685</v>
      </c>
      <c r="J11" s="16">
        <f>('Cashflow'!E12-'Cashflow'!C12)/'Cashflow'!C12</f>
        <v>-1.01852189781022</v>
      </c>
    </row>
    <row r="12" ht="20.05" customHeight="1">
      <c r="B12" s="31"/>
      <c r="C12" s="13">
        <v>485.7</v>
      </c>
      <c r="D12" s="14"/>
      <c r="E12" s="14">
        <f>52-E11</f>
        <v>13</v>
      </c>
      <c r="F12" s="14">
        <f>123-F11</f>
        <v>63.3</v>
      </c>
      <c r="G12" s="16">
        <f>C12/C11-1</f>
        <v>-0.0138071065989848</v>
      </c>
      <c r="H12" s="16">
        <f>(E12+F12-C12)/C12</f>
        <v>-0.842907144327774</v>
      </c>
      <c r="I12" s="16">
        <f>AVERAGE(J9:J12)</f>
        <v>-1.19926041722672</v>
      </c>
      <c r="J12" s="16">
        <f>('Cashflow'!E13-'Cashflow'!C13)/'Cashflow'!C13</f>
        <v>-1.04087837837838</v>
      </c>
    </row>
    <row r="13" ht="20.05" customHeight="1">
      <c r="B13" s="31"/>
      <c r="C13" s="13">
        <v>430.8</v>
      </c>
      <c r="D13" s="22"/>
      <c r="E13" s="14">
        <f>76-SUM(E11:E12)</f>
        <v>24</v>
      </c>
      <c r="F13" s="14">
        <f>182-SUM(F11:F12)</f>
        <v>59</v>
      </c>
      <c r="G13" s="16">
        <f>C13/C12-1</f>
        <v>-0.113032736256949</v>
      </c>
      <c r="H13" s="16">
        <f>(E13+F13-C13)/C13</f>
        <v>-0.8073351903435469</v>
      </c>
      <c r="I13" s="16">
        <f>AVERAGE(J10:J13)</f>
        <v>-1.22635155255736</v>
      </c>
      <c r="J13" s="16">
        <f>('Cashflow'!E14-'Cashflow'!C14)/'Cashflow'!C14</f>
        <v>-1.21049868766404</v>
      </c>
    </row>
    <row r="14" ht="20.05" customHeight="1">
      <c r="B14" s="31"/>
      <c r="C14" s="13">
        <v>888</v>
      </c>
      <c r="D14" s="14"/>
      <c r="E14" s="14">
        <f>102-SUM(E11:E13)</f>
        <v>26</v>
      </c>
      <c r="F14" s="14">
        <f>218-SUM(F11:F13)</f>
        <v>36</v>
      </c>
      <c r="G14" s="16">
        <f>C14/C13-1</f>
        <v>1.06128133704735</v>
      </c>
      <c r="H14" s="16">
        <f>(E14+F14-C14)/C14</f>
        <v>-0.93018018018018</v>
      </c>
      <c r="I14" s="16">
        <f>AVERAGE(J11:J14)</f>
        <v>-1.32716398677322</v>
      </c>
      <c r="J14" s="16">
        <f>('Cashflow'!E15-'Cashflow'!C15)/'Cashflow'!C15</f>
        <v>-2.03875698324022</v>
      </c>
    </row>
    <row r="15" ht="20.05" customHeight="1">
      <c r="B15" s="32">
        <v>2020</v>
      </c>
      <c r="C15" s="13">
        <v>482</v>
      </c>
      <c r="D15" s="14"/>
      <c r="E15" s="14">
        <v>25</v>
      </c>
      <c r="F15" s="14">
        <v>57.131</v>
      </c>
      <c r="G15" s="16">
        <f>C15/C14-1</f>
        <v>-0.457207207207207</v>
      </c>
      <c r="H15" s="16">
        <f>(E15+F15-C15)/C15</f>
        <v>-0.829603734439834</v>
      </c>
      <c r="I15" s="16">
        <f>AVERAGE(J12:J15)</f>
        <v>-1.30105077958793</v>
      </c>
      <c r="J15" s="16">
        <f>('Cashflow'!E16-'Cashflow'!C16)/'Cashflow'!C16</f>
        <v>-0.914069069069069</v>
      </c>
    </row>
    <row r="16" ht="20.05" customHeight="1">
      <c r="B16" s="31"/>
      <c r="C16" s="13">
        <v>652</v>
      </c>
      <c r="D16" s="14"/>
      <c r="E16" s="14">
        <f>50-E15</f>
        <v>25</v>
      </c>
      <c r="F16" s="14">
        <f>113.5-F15</f>
        <v>56.369</v>
      </c>
      <c r="G16" s="16">
        <f>C16/C15-1</f>
        <v>0.352697095435685</v>
      </c>
      <c r="H16" s="16">
        <f>(E16+F16-C16)/C16</f>
        <v>-0.875200920245399</v>
      </c>
      <c r="I16" s="16">
        <f>AVERAGE(J13:J16)</f>
        <v>-1.27321838221481</v>
      </c>
      <c r="J16" s="16">
        <f>('Cashflow'!E17-'Cashflow'!C17)/'Cashflow'!C17</f>
        <v>-0.929548788885895</v>
      </c>
    </row>
    <row r="17" ht="20.05" customHeight="1">
      <c r="B17" s="31"/>
      <c r="C17" s="13">
        <v>751</v>
      </c>
      <c r="D17" s="14">
        <v>685</v>
      </c>
      <c r="E17" s="14">
        <v>19</v>
      </c>
      <c r="F17" s="14">
        <v>75.5</v>
      </c>
      <c r="G17" s="16">
        <f>C17/C16-1</f>
        <v>0.151840490797546</v>
      </c>
      <c r="H17" s="16">
        <f>(E17+F17-C17)/C17</f>
        <v>-0.874167776298269</v>
      </c>
      <c r="I17" s="16">
        <f>AVERAGE(J14:J17)</f>
        <v>-1.20041935234892</v>
      </c>
      <c r="J17" s="16">
        <f>('Cashflow'!E18-'Cashflow'!C18)/'Cashflow'!C18</f>
        <v>-0.9193025682004839</v>
      </c>
    </row>
    <row r="18" ht="20.05" customHeight="1">
      <c r="B18" s="31"/>
      <c r="C18" s="13">
        <v>1083.6</v>
      </c>
      <c r="D18" s="14">
        <v>938.75</v>
      </c>
      <c r="E18" s="14">
        <f>99-SUM(E15:E17)</f>
        <v>30</v>
      </c>
      <c r="F18" s="14">
        <f>314.4-SUM(F15:F17)</f>
        <v>125.4</v>
      </c>
      <c r="G18" s="16">
        <f>C18/C17-1</f>
        <v>0.442876165113182</v>
      </c>
      <c r="H18" s="16">
        <f>(E18+F18-C18)/C18</f>
        <v>-0.856589147286822</v>
      </c>
      <c r="I18" s="16">
        <f>AVERAGE(J15:J18)</f>
        <v>-0.942361760628195</v>
      </c>
      <c r="J18" s="16">
        <f>('Cashflow'!E19-'Cashflow'!C19)/'Cashflow'!C19</f>
        <v>-1.00652661635733</v>
      </c>
    </row>
    <row r="19" ht="20.05" customHeight="1">
      <c r="B19" s="32">
        <v>2021</v>
      </c>
      <c r="C19" s="17">
        <v>912.1</v>
      </c>
      <c r="D19" s="14">
        <v>657.125</v>
      </c>
      <c r="E19" s="24">
        <f>23.1</f>
        <v>23.1</v>
      </c>
      <c r="F19" s="14">
        <v>101.8</v>
      </c>
      <c r="G19" s="16">
        <f>C19/C18-1</f>
        <v>-0.158268733850129</v>
      </c>
      <c r="H19" s="16">
        <f>(E19+F19-C19)/C19</f>
        <v>-0.86306326060739</v>
      </c>
      <c r="I19" s="16">
        <f>AVERAGE(J16:J19)</f>
        <v>-0.958354082946538</v>
      </c>
      <c r="J19" s="16">
        <f>('Cashflow'!E20-'Cashflow'!C20)/'Cashflow'!C20</f>
        <v>-0.978038358342443</v>
      </c>
    </row>
    <row r="20" ht="20.05" customHeight="1">
      <c r="B20" s="31"/>
      <c r="C20" s="17">
        <f>2140.2-C19</f>
        <v>1228.1</v>
      </c>
      <c r="D20" s="21">
        <v>903</v>
      </c>
      <c r="E20" s="14">
        <f>48.4-E19</f>
        <v>25.3</v>
      </c>
      <c r="F20" s="14">
        <f>221.8-F19</f>
        <v>120</v>
      </c>
      <c r="G20" s="16">
        <f>C20/C19-1</f>
        <v>0.34645323977634</v>
      </c>
      <c r="H20" s="16">
        <f>(E20+F20-C20)/C20</f>
        <v>-0.881687159026138</v>
      </c>
      <c r="I20" s="16">
        <f>AVERAGE(J17:J20)</f>
        <v>-0.992161217708869</v>
      </c>
      <c r="J20" s="16">
        <f>('Cashflow'!E21-'Cashflow'!C21)/'Cashflow'!C21</f>
        <v>-1.06477732793522</v>
      </c>
    </row>
    <row r="21" ht="20.05" customHeight="1">
      <c r="B21" s="31"/>
      <c r="C21" s="17">
        <f>3521-SUM(C19:C20)</f>
        <v>1380.8</v>
      </c>
      <c r="D21" s="14">
        <v>1166.695</v>
      </c>
      <c r="E21" s="14">
        <f>72.9-SUM(E19:E20)</f>
        <v>24.5</v>
      </c>
      <c r="F21" s="14">
        <f>356-SUM(F19:F20)</f>
        <v>134.2</v>
      </c>
      <c r="G21" s="16">
        <f>C21/C20-1</f>
        <v>0.124338408924355</v>
      </c>
      <c r="H21" s="16">
        <f>(E21+F21-C21)/C21</f>
        <v>-0.885066628041715</v>
      </c>
      <c r="I21" s="16">
        <f>AVERAGE(J18:J21)</f>
        <v>-1.0272334604144</v>
      </c>
      <c r="J21" s="16">
        <f>('Cashflow'!E22-'Cashflow'!C22)/'Cashflow'!C22</f>
        <v>-1.05959153902261</v>
      </c>
    </row>
    <row r="22" ht="20.05" customHeight="1">
      <c r="B22" s="31"/>
      <c r="C22" s="33"/>
      <c r="D22" s="14">
        <f>'Model'!C6</f>
        <v>1656.96</v>
      </c>
      <c r="E22" s="14"/>
      <c r="F22" s="14"/>
      <c r="G22" s="16"/>
      <c r="H22" s="16">
        <f>'Model'!C7</f>
        <v>-0.93018018018018</v>
      </c>
      <c r="I22" s="16"/>
      <c r="J22" s="16"/>
    </row>
    <row r="23" ht="20.05" customHeight="1">
      <c r="B23" s="32">
        <v>2020</v>
      </c>
      <c r="C23" s="33"/>
      <c r="D23" s="14">
        <f>'Model'!C6</f>
        <v>1656.96</v>
      </c>
      <c r="E23" s="14"/>
      <c r="F23" s="14"/>
      <c r="G23" s="16"/>
      <c r="H23" s="16"/>
      <c r="I23" s="16"/>
      <c r="J23" s="16"/>
    </row>
    <row r="24" ht="20.05" customHeight="1">
      <c r="B24" s="31"/>
      <c r="C24" s="33"/>
      <c r="D24" s="14">
        <f>'Model'!D6</f>
        <v>1408.416</v>
      </c>
      <c r="E24" s="14"/>
      <c r="F24" s="14"/>
      <c r="G24" s="16"/>
      <c r="H24" s="16"/>
      <c r="I24" s="16"/>
      <c r="J24" s="16"/>
    </row>
    <row r="25" ht="20.05" customHeight="1">
      <c r="B25" s="31"/>
      <c r="C25" s="33"/>
      <c r="D25" s="14">
        <f>'Model'!E6</f>
        <v>1507.00512</v>
      </c>
      <c r="E25" s="14"/>
      <c r="F25" s="14"/>
      <c r="G25" s="16"/>
      <c r="H25" s="16"/>
      <c r="I25" s="16"/>
      <c r="J25" s="16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0469" style="34" customWidth="1"/>
    <col min="2" max="2" width="9.35938" style="34" customWidth="1"/>
    <col min="3" max="13" width="10.2656" style="34" customWidth="1"/>
    <col min="14" max="16384" width="16.3516" style="34" customWidth="1"/>
  </cols>
  <sheetData>
    <row r="1" ht="14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45</v>
      </c>
      <c r="D3" t="s" s="4">
        <v>46</v>
      </c>
      <c r="E3" t="s" s="4">
        <v>47</v>
      </c>
      <c r="F3" t="s" s="4">
        <v>48</v>
      </c>
      <c r="G3" t="s" s="4">
        <v>49</v>
      </c>
      <c r="H3" t="s" s="4">
        <v>11</v>
      </c>
      <c r="I3" t="s" s="4">
        <v>50</v>
      </c>
      <c r="J3" t="s" s="4">
        <v>10</v>
      </c>
      <c r="K3" t="s" s="4">
        <v>51</v>
      </c>
      <c r="L3" t="s" s="4">
        <v>3</v>
      </c>
      <c r="M3" t="s" s="4">
        <v>28</v>
      </c>
    </row>
    <row r="4" ht="20.25" customHeight="1">
      <c r="B4" s="27">
        <v>2017</v>
      </c>
      <c r="C4" s="35">
        <v>482.9</v>
      </c>
      <c r="D4" s="36">
        <v>-124.75</v>
      </c>
      <c r="E4" s="36">
        <v>-5.58</v>
      </c>
      <c r="F4" s="36">
        <v>-11.58</v>
      </c>
      <c r="G4" s="36"/>
      <c r="H4" s="36"/>
      <c r="I4" s="36"/>
      <c r="J4" s="36">
        <v>26.23</v>
      </c>
      <c r="K4" s="36">
        <f>D4+E4</f>
        <v>-130.33</v>
      </c>
      <c r="L4" s="37"/>
      <c r="M4" s="36">
        <f>-J4</f>
        <v>-26.23</v>
      </c>
    </row>
    <row r="5" ht="20.05" customHeight="1">
      <c r="B5" s="31"/>
      <c r="C5" s="17">
        <f>824.7-C4</f>
        <v>341.8</v>
      </c>
      <c r="D5" s="18">
        <v>-124.75</v>
      </c>
      <c r="E5" s="18">
        <f>-21.9-E4</f>
        <v>-16.32</v>
      </c>
      <c r="F5" s="18">
        <f>-37-F4</f>
        <v>-25.42</v>
      </c>
      <c r="G5" s="18"/>
      <c r="H5" s="18"/>
      <c r="I5" s="18"/>
      <c r="J5" s="18">
        <f>385.6-J4</f>
        <v>359.37</v>
      </c>
      <c r="K5" s="18">
        <f>D5+E5</f>
        <v>-141.07</v>
      </c>
      <c r="L5" s="21"/>
      <c r="M5" s="18">
        <f>-J5+M4</f>
        <v>-385.6</v>
      </c>
    </row>
    <row r="6" ht="20.05" customHeight="1">
      <c r="B6" s="31"/>
      <c r="C6" s="17">
        <v>482</v>
      </c>
      <c r="D6" s="18">
        <v>-124.75</v>
      </c>
      <c r="E6" s="18">
        <v>30</v>
      </c>
      <c r="F6" s="18">
        <v>-226</v>
      </c>
      <c r="G6" s="18"/>
      <c r="H6" s="18"/>
      <c r="I6" s="18"/>
      <c r="J6" s="18">
        <v>60</v>
      </c>
      <c r="K6" s="18">
        <f>D6+E6</f>
        <v>-94.75</v>
      </c>
      <c r="L6" s="21"/>
      <c r="M6" s="18">
        <f>-J6+M5</f>
        <v>-445.6</v>
      </c>
    </row>
    <row r="7" ht="20.05" customHeight="1">
      <c r="B7" s="31"/>
      <c r="C7" s="17">
        <f>1789-SUM(C4:C6)</f>
        <v>482.3</v>
      </c>
      <c r="D7" s="18">
        <v>-124.75</v>
      </c>
      <c r="E7" s="18">
        <f>41.45-SUM(E4:E6)</f>
        <v>33.35</v>
      </c>
      <c r="F7" s="18">
        <f>-490.25-SUM(F4:F6)</f>
        <v>-227.25</v>
      </c>
      <c r="G7" s="18"/>
      <c r="H7" s="18"/>
      <c r="I7" s="18"/>
      <c r="J7" s="18">
        <f>507.49-SUM(J4:J6)</f>
        <v>61.89</v>
      </c>
      <c r="K7" s="18">
        <f>D7+E7</f>
        <v>-91.40000000000001</v>
      </c>
      <c r="L7" s="21"/>
      <c r="M7" s="18">
        <f>-J7+M6</f>
        <v>-507.49</v>
      </c>
    </row>
    <row r="8" ht="20.05" customHeight="1">
      <c r="B8" s="32">
        <v>2018</v>
      </c>
      <c r="C8" s="17">
        <v>440.9</v>
      </c>
      <c r="D8" s="18">
        <v>-42.25</v>
      </c>
      <c r="E8" s="18">
        <v>71</v>
      </c>
      <c r="F8" s="18">
        <v>-26.8</v>
      </c>
      <c r="G8" s="18"/>
      <c r="H8" s="18"/>
      <c r="I8" s="18"/>
      <c r="J8" s="18">
        <v>-85.68000000000001</v>
      </c>
      <c r="K8" s="18">
        <f>D8+E8</f>
        <v>28.75</v>
      </c>
      <c r="L8" s="18">
        <f>AVERAGE(K5:K8)</f>
        <v>-74.61750000000001</v>
      </c>
      <c r="M8" s="18">
        <f>-J8+M7</f>
        <v>-421.81</v>
      </c>
    </row>
    <row r="9" ht="20.05" customHeight="1">
      <c r="B9" s="31"/>
      <c r="C9" s="17">
        <f>816.4-C8</f>
        <v>375.5</v>
      </c>
      <c r="D9" s="18">
        <v>-42.25</v>
      </c>
      <c r="E9" s="18">
        <f>-23.4-E8</f>
        <v>-94.40000000000001</v>
      </c>
      <c r="F9" s="18">
        <f>-76-F8</f>
        <v>-49.2</v>
      </c>
      <c r="G9" s="18"/>
      <c r="H9" s="18"/>
      <c r="I9" s="18"/>
      <c r="J9" s="18">
        <f>52.8-J8</f>
        <v>138.48</v>
      </c>
      <c r="K9" s="18">
        <f>D9+E9</f>
        <v>-136.65</v>
      </c>
      <c r="L9" s="18">
        <f>AVERAGE(K6:K9)</f>
        <v>-73.5125</v>
      </c>
      <c r="M9" s="18">
        <f>-J9+M8</f>
        <v>-560.29</v>
      </c>
    </row>
    <row r="10" ht="20.05" customHeight="1">
      <c r="B10" s="31"/>
      <c r="C10" s="17">
        <f>1210-SUM(C8:C9)</f>
        <v>393.6</v>
      </c>
      <c r="D10" s="18">
        <v>-42.25</v>
      </c>
      <c r="E10" s="18">
        <f>-63.6-SUM(E8:E9)</f>
        <v>-40.2</v>
      </c>
      <c r="F10" s="18">
        <f>-100.8-SUM(F8:F9)</f>
        <v>-24.8</v>
      </c>
      <c r="G10" s="18"/>
      <c r="H10" s="18"/>
      <c r="I10" s="18"/>
      <c r="J10" s="18">
        <f>130-SUM(J8:J9)</f>
        <v>77.2</v>
      </c>
      <c r="K10" s="18">
        <f>D10+E10</f>
        <v>-82.45</v>
      </c>
      <c r="L10" s="18">
        <f>AVERAGE(K7:K10)</f>
        <v>-70.4375</v>
      </c>
      <c r="M10" s="18">
        <f>-J10+M9</f>
        <v>-637.49</v>
      </c>
    </row>
    <row r="11" ht="20.05" customHeight="1">
      <c r="B11" s="31"/>
      <c r="C11" s="17">
        <f>1762-SUM(C8:C10)</f>
        <v>552</v>
      </c>
      <c r="D11" s="18">
        <v>-42.25</v>
      </c>
      <c r="E11" s="18">
        <f>-414.4-SUM(E8:E10)</f>
        <v>-350.8</v>
      </c>
      <c r="F11" s="18">
        <f>-144.9-SUM(F8:F10)</f>
        <v>-44.1</v>
      </c>
      <c r="G11" s="18"/>
      <c r="H11" s="18"/>
      <c r="I11" s="18"/>
      <c r="J11" s="18">
        <f>638-SUM(J8:J10)</f>
        <v>508</v>
      </c>
      <c r="K11" s="18">
        <f>D11+E11</f>
        <v>-393.05</v>
      </c>
      <c r="L11" s="18">
        <f>AVERAGE(K8:K11)</f>
        <v>-145.85</v>
      </c>
      <c r="M11" s="18">
        <f>-J11+M10</f>
        <v>-1145.49</v>
      </c>
    </row>
    <row r="12" ht="20.05" customHeight="1">
      <c r="B12" s="32">
        <v>2019</v>
      </c>
      <c r="C12" s="17">
        <v>548</v>
      </c>
      <c r="D12" s="18">
        <v>-64.25</v>
      </c>
      <c r="E12" s="18">
        <v>-10.15</v>
      </c>
      <c r="F12" s="18">
        <v>-5.7</v>
      </c>
      <c r="G12" s="18"/>
      <c r="H12" s="18"/>
      <c r="I12" s="18"/>
      <c r="J12" s="18">
        <v>3.89</v>
      </c>
      <c r="K12" s="18">
        <f>D12+E12</f>
        <v>-74.40000000000001</v>
      </c>
      <c r="L12" s="18">
        <f>AVERAGE(K9:K12)</f>
        <v>-171.6375</v>
      </c>
      <c r="M12" s="18">
        <f>-J12+M11</f>
        <v>-1149.38</v>
      </c>
    </row>
    <row r="13" ht="20.05" customHeight="1">
      <c r="B13" s="31"/>
      <c r="C13" s="17">
        <f>992-C12</f>
        <v>444</v>
      </c>
      <c r="D13" s="18">
        <v>-64.25</v>
      </c>
      <c r="E13" s="18">
        <f>-28.3-E12</f>
        <v>-18.15</v>
      </c>
      <c r="F13" s="18">
        <f>-191.9-F12</f>
        <v>-186.2</v>
      </c>
      <c r="G13" s="18"/>
      <c r="H13" s="18"/>
      <c r="I13" s="18"/>
      <c r="J13" s="18">
        <f>173.56-J12</f>
        <v>169.67</v>
      </c>
      <c r="K13" s="18">
        <f>D13+E13</f>
        <v>-82.40000000000001</v>
      </c>
      <c r="L13" s="18">
        <f>AVERAGE(K10:K13)</f>
        <v>-158.075</v>
      </c>
      <c r="M13" s="18">
        <f>-J13+M12</f>
        <v>-1319.05</v>
      </c>
    </row>
    <row r="14" ht="20.05" customHeight="1">
      <c r="B14" s="31"/>
      <c r="C14" s="17">
        <f>1373-SUM(C12:C13)</f>
        <v>381</v>
      </c>
      <c r="D14" s="18">
        <v>-64.25</v>
      </c>
      <c r="E14" s="18">
        <f>-108.5-SUM(E12:E13)</f>
        <v>-80.2</v>
      </c>
      <c r="F14" s="18">
        <f>-246.7-SUM(F12:F13)</f>
        <v>-54.8</v>
      </c>
      <c r="G14" s="18"/>
      <c r="H14" s="18"/>
      <c r="I14" s="18"/>
      <c r="J14" s="18">
        <f>305.7-SUM(J12:J13)</f>
        <v>132.14</v>
      </c>
      <c r="K14" s="18">
        <f>D14+E14</f>
        <v>-144.45</v>
      </c>
      <c r="L14" s="18">
        <f>AVERAGE(K11:K14)</f>
        <v>-173.575</v>
      </c>
      <c r="M14" s="18">
        <f>-J14+M13</f>
        <v>-1451.19</v>
      </c>
    </row>
    <row r="15" ht="20.05" customHeight="1">
      <c r="B15" s="31"/>
      <c r="C15" s="17">
        <f>1659.4-SUM(C12:C14)</f>
        <v>286.4</v>
      </c>
      <c r="D15" s="18">
        <v>-64.25</v>
      </c>
      <c r="E15" s="18">
        <f>-406-SUM(E12:E14)</f>
        <v>-297.5</v>
      </c>
      <c r="F15" s="18">
        <f>-208-SUM(F12:F14)</f>
        <v>38.7</v>
      </c>
      <c r="G15" s="18"/>
      <c r="H15" s="18"/>
      <c r="I15" s="18"/>
      <c r="J15" s="18">
        <f>538.7-SUM(J12:J14)</f>
        <v>233</v>
      </c>
      <c r="K15" s="18">
        <f>D15+E15</f>
        <v>-361.75</v>
      </c>
      <c r="L15" s="18">
        <f>AVERAGE(K12:K15)</f>
        <v>-165.75</v>
      </c>
      <c r="M15" s="18">
        <f>-J15+M14</f>
        <v>-1684.19</v>
      </c>
    </row>
    <row r="16" ht="20.05" customHeight="1">
      <c r="B16" s="32">
        <v>2020</v>
      </c>
      <c r="C16" s="17">
        <v>666</v>
      </c>
      <c r="D16" s="18">
        <v>-41.25</v>
      </c>
      <c r="E16" s="18">
        <v>57.23</v>
      </c>
      <c r="F16" s="18">
        <v>-26.7</v>
      </c>
      <c r="G16" s="18"/>
      <c r="H16" s="18"/>
      <c r="I16" s="18"/>
      <c r="J16" s="18">
        <v>-60.5</v>
      </c>
      <c r="K16" s="18">
        <f>D16+E16</f>
        <v>15.98</v>
      </c>
      <c r="L16" s="18">
        <f>AVERAGE(K13:K16)</f>
        <v>-143.155</v>
      </c>
      <c r="M16" s="18">
        <f>-J16+M15</f>
        <v>-1623.69</v>
      </c>
    </row>
    <row r="17" ht="20.05" customHeight="1">
      <c r="B17" s="31"/>
      <c r="C17" s="17">
        <f>1333.98-C16</f>
        <v>667.98</v>
      </c>
      <c r="D17" s="18">
        <v>-41.25</v>
      </c>
      <c r="E17" s="18">
        <f>104.29-E16</f>
        <v>47.06</v>
      </c>
      <c r="F17" s="18">
        <f>-33.63-F16</f>
        <v>-6.93</v>
      </c>
      <c r="G17" s="18"/>
      <c r="H17" s="18"/>
      <c r="I17" s="18"/>
      <c r="J17" s="18">
        <f>-96.83-J16</f>
        <v>-36.33</v>
      </c>
      <c r="K17" s="18">
        <f>D17+E17</f>
        <v>5.81</v>
      </c>
      <c r="L17" s="18">
        <f>AVERAGE(K14:K17)</f>
        <v>-121.1025</v>
      </c>
      <c r="M17" s="18">
        <f>-J17+M16</f>
        <v>-1587.36</v>
      </c>
    </row>
    <row r="18" ht="20.05" customHeight="1">
      <c r="B18" s="31"/>
      <c r="C18" s="17">
        <v>901.02</v>
      </c>
      <c r="D18" s="18">
        <v>-41.25</v>
      </c>
      <c r="E18" s="18">
        <v>72.70999999999999</v>
      </c>
      <c r="F18" s="18">
        <v>-43.37</v>
      </c>
      <c r="G18" s="18"/>
      <c r="H18" s="18"/>
      <c r="I18" s="18"/>
      <c r="J18" s="18">
        <v>6.83</v>
      </c>
      <c r="K18" s="18">
        <f>D18+E18</f>
        <v>31.46</v>
      </c>
      <c r="L18" s="18">
        <f>AVERAGE(K15:K18)</f>
        <v>-77.125</v>
      </c>
      <c r="M18" s="18">
        <f>-J18+M17</f>
        <v>-1594.19</v>
      </c>
    </row>
    <row r="19" ht="20.05" customHeight="1">
      <c r="B19" s="31"/>
      <c r="C19" s="17">
        <f>3215.6-SUM(C16:C18)</f>
        <v>980.6</v>
      </c>
      <c r="D19" s="18">
        <v>-41.25</v>
      </c>
      <c r="E19" s="18">
        <f>170.6-SUM(E16:E18)</f>
        <v>-6.4</v>
      </c>
      <c r="F19" s="18">
        <f>-140.9-SUM(F16:F18)</f>
        <v>-63.9</v>
      </c>
      <c r="G19" s="18"/>
      <c r="H19" s="18"/>
      <c r="I19" s="18"/>
      <c r="J19" s="18">
        <f>-18-SUM(J16:J18)</f>
        <v>72</v>
      </c>
      <c r="K19" s="18">
        <f>D19+E19</f>
        <v>-47.65</v>
      </c>
      <c r="L19" s="18">
        <f>AVERAGE(K16:K19)</f>
        <v>1.4</v>
      </c>
      <c r="M19" s="18">
        <f>-J19+M18</f>
        <v>-1666.19</v>
      </c>
    </row>
    <row r="20" ht="20.05" customHeight="1">
      <c r="B20" s="32">
        <v>2021</v>
      </c>
      <c r="C20" s="17">
        <v>1006.3</v>
      </c>
      <c r="D20" s="18">
        <v>-23</v>
      </c>
      <c r="E20" s="18">
        <v>22.1</v>
      </c>
      <c r="F20" s="18">
        <v>9.4</v>
      </c>
      <c r="G20" s="18">
        <v>15.8</v>
      </c>
      <c r="H20" s="18">
        <f>-62.55-G20</f>
        <v>-78.34999999999999</v>
      </c>
      <c r="I20" s="18"/>
      <c r="J20" s="18">
        <f>G20+H20+I20</f>
        <v>-62.55</v>
      </c>
      <c r="K20" s="18">
        <f>D20+E20</f>
        <v>-0.9</v>
      </c>
      <c r="L20" s="18">
        <f>AVERAGE(K17:K20)</f>
        <v>-2.82</v>
      </c>
      <c r="M20" s="18">
        <f>-(H20+I20)+M19</f>
        <v>-1587.84</v>
      </c>
    </row>
    <row r="21" ht="20.05" customHeight="1">
      <c r="B21" s="31"/>
      <c r="C21" s="17">
        <f>2068.4-C20</f>
        <v>1062.1</v>
      </c>
      <c r="D21" s="18">
        <v>-23</v>
      </c>
      <c r="E21" s="18">
        <f>-46.7-E20</f>
        <v>-68.8</v>
      </c>
      <c r="F21" s="18">
        <f>98.7-F20</f>
        <v>89.3</v>
      </c>
      <c r="G21" s="18">
        <f>23.9-16.9-G20</f>
        <v>-8.800000000000001</v>
      </c>
      <c r="H21" s="18">
        <f>-80.5-G21-G20-H20</f>
        <v>-9.15</v>
      </c>
      <c r="I21" s="18"/>
      <c r="J21" s="18">
        <f>G21+H21+I21</f>
        <v>-17.95</v>
      </c>
      <c r="K21" s="18">
        <f>D21+E21</f>
        <v>-91.8</v>
      </c>
      <c r="L21" s="18">
        <f>AVERAGE(K18:K21)</f>
        <v>-27.2225</v>
      </c>
      <c r="M21" s="18">
        <f>-(H21+I21)+M20</f>
        <v>-1578.69</v>
      </c>
    </row>
    <row r="22" ht="20.05" customHeight="1">
      <c r="B22" s="31"/>
      <c r="C22" s="17">
        <f>3439.4-SUM(C20:C21)</f>
        <v>1371</v>
      </c>
      <c r="D22" s="18">
        <f>-70.6-SUM(D20:D21)</f>
        <v>-24.6</v>
      </c>
      <c r="E22" s="18">
        <f>-128.4-SUM(E20:E21)</f>
        <v>-81.7</v>
      </c>
      <c r="F22" s="18">
        <f>33.4-SUM(F20:F21)</f>
        <v>-65.3</v>
      </c>
      <c r="G22" s="18">
        <f>23.9-25.66-G21-G20</f>
        <v>-8.76</v>
      </c>
      <c r="H22" s="18">
        <f>101.96-I22-H21-H20-G22-G21-G20</f>
        <v>207.12</v>
      </c>
      <c r="I22" s="18">
        <v>-15.9</v>
      </c>
      <c r="J22" s="18">
        <f>G22+H22+I22</f>
        <v>182.46</v>
      </c>
      <c r="K22" s="18">
        <f>D22+E22</f>
        <v>-106.3</v>
      </c>
      <c r="L22" s="18">
        <f>AVERAGE(K19:K22)</f>
        <v>-61.6625</v>
      </c>
      <c r="M22" s="18">
        <f>-(H22+I22)+M21</f>
        <v>-1769.91</v>
      </c>
    </row>
    <row r="23" ht="20.05" customHeight="1">
      <c r="B23" s="31"/>
      <c r="C23" s="17"/>
      <c r="D23" s="18"/>
      <c r="E23" s="18"/>
      <c r="F23" s="18"/>
      <c r="G23" s="18"/>
      <c r="H23" s="18"/>
      <c r="I23" s="18"/>
      <c r="J23" s="18"/>
      <c r="K23" s="18"/>
      <c r="L23" s="18">
        <f>SUM('Model'!F9:F10)</f>
        <v>50.440708540540</v>
      </c>
      <c r="M23" s="18">
        <f>'Model'!F32</f>
        <v>-1596.126465513510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29688" style="38" customWidth="1"/>
    <col min="2" max="2" width="9.38281" style="38" customWidth="1"/>
    <col min="3" max="4" width="10.9688" style="38" customWidth="1"/>
    <col min="5" max="10" width="9.38281" style="38" customWidth="1"/>
    <col min="11" max="16384" width="16.3516" style="38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39">
        <v>41</v>
      </c>
      <c r="B2" t="s" s="4">
        <v>52</v>
      </c>
      <c r="C2" t="s" s="4">
        <v>53</v>
      </c>
      <c r="D2" t="s" s="4">
        <v>22</v>
      </c>
      <c r="E2" t="s" s="4">
        <v>23</v>
      </c>
      <c r="F2" t="s" s="4">
        <v>11</v>
      </c>
      <c r="G2" t="s" s="4">
        <v>50</v>
      </c>
      <c r="H2" t="s" s="4">
        <v>54</v>
      </c>
      <c r="I2" t="s" s="4">
        <v>26</v>
      </c>
      <c r="J2" t="s" s="4">
        <v>33</v>
      </c>
    </row>
    <row r="3" ht="20.25" customHeight="1">
      <c r="A3" s="27">
        <v>2017</v>
      </c>
      <c r="B3" s="35"/>
      <c r="C3" s="36"/>
      <c r="D3" s="36">
        <f>C3-B3</f>
        <v>0</v>
      </c>
      <c r="E3" s="36"/>
      <c r="F3" s="36"/>
      <c r="G3" s="36"/>
      <c r="H3" s="36"/>
      <c r="I3" s="36"/>
      <c r="J3" s="36"/>
    </row>
    <row r="4" ht="20.05" customHeight="1">
      <c r="A4" s="31"/>
      <c r="B4" s="17">
        <v>351</v>
      </c>
      <c r="C4" s="18">
        <v>3562</v>
      </c>
      <c r="D4" s="18">
        <f>C4-B4</f>
        <v>3211</v>
      </c>
      <c r="E4" s="18">
        <f>356</f>
        <v>356</v>
      </c>
      <c r="F4" s="18">
        <v>1728</v>
      </c>
      <c r="G4" s="18">
        <v>1834</v>
      </c>
      <c r="H4" s="18">
        <f>F4+G4-B4-D4</f>
        <v>0</v>
      </c>
      <c r="I4" s="18">
        <f>B4-F4</f>
        <v>-1377</v>
      </c>
      <c r="J4" s="18"/>
    </row>
    <row r="5" ht="20.05" customHeight="1">
      <c r="A5" s="31"/>
      <c r="B5" s="17">
        <v>186</v>
      </c>
      <c r="C5" s="18">
        <v>3628</v>
      </c>
      <c r="D5" s="18">
        <f>C5-B5</f>
        <v>3442</v>
      </c>
      <c r="E5" s="18">
        <v>376</v>
      </c>
      <c r="F5" s="18">
        <v>1749</v>
      </c>
      <c r="G5" s="18">
        <v>1879</v>
      </c>
      <c r="H5" s="18">
        <f>F5+G5-B5-D5</f>
        <v>0</v>
      </c>
      <c r="I5" s="18">
        <f>B5-F5</f>
        <v>-1563</v>
      </c>
      <c r="J5" s="18"/>
    </row>
    <row r="6" ht="20.05" customHeight="1">
      <c r="A6" s="31"/>
      <c r="B6" s="17">
        <v>54</v>
      </c>
      <c r="C6" s="18">
        <v>3843</v>
      </c>
      <c r="D6" s="18">
        <f>C6-B6</f>
        <v>3789</v>
      </c>
      <c r="E6" s="18">
        <v>399</v>
      </c>
      <c r="F6" s="18">
        <v>1930</v>
      </c>
      <c r="G6" s="18">
        <v>1913</v>
      </c>
      <c r="H6" s="18">
        <f>F6+G6-B6-D6</f>
        <v>0</v>
      </c>
      <c r="I6" s="18">
        <f>B6-F6</f>
        <v>-1876</v>
      </c>
      <c r="J6" s="18"/>
    </row>
    <row r="7" ht="20.05" customHeight="1">
      <c r="A7" s="32">
        <v>2018</v>
      </c>
      <c r="B7" s="17">
        <v>42</v>
      </c>
      <c r="C7" s="18">
        <v>3807</v>
      </c>
      <c r="D7" s="18">
        <f>C7-B7</f>
        <v>3765</v>
      </c>
      <c r="E7" s="18">
        <v>415</v>
      </c>
      <c r="F7" s="18">
        <v>1847</v>
      </c>
      <c r="G7" s="18">
        <v>1960</v>
      </c>
      <c r="H7" s="18">
        <f>F7+G7-B7-D7</f>
        <v>0</v>
      </c>
      <c r="I7" s="18">
        <f>B7-F7</f>
        <v>-1805</v>
      </c>
      <c r="J7" s="18"/>
    </row>
    <row r="8" ht="20.05" customHeight="1">
      <c r="A8" s="31"/>
      <c r="B8" s="17">
        <v>37</v>
      </c>
      <c r="C8" s="18">
        <v>3887</v>
      </c>
      <c r="D8" s="18">
        <f>C8-B8</f>
        <v>3850</v>
      </c>
      <c r="E8" s="18">
        <v>436</v>
      </c>
      <c r="F8" s="18">
        <v>1869</v>
      </c>
      <c r="G8" s="18">
        <v>2018</v>
      </c>
      <c r="H8" s="18">
        <f>F8+G8-B8-D8</f>
        <v>0</v>
      </c>
      <c r="I8" s="18">
        <f>B8-F8</f>
        <v>-1832</v>
      </c>
      <c r="J8" s="18"/>
    </row>
    <row r="9" ht="20.05" customHeight="1">
      <c r="A9" s="31"/>
      <c r="B9" s="17">
        <v>42</v>
      </c>
      <c r="C9" s="18">
        <v>4012</v>
      </c>
      <c r="D9" s="18">
        <f>C9-B9</f>
        <v>3970</v>
      </c>
      <c r="E9" s="18">
        <v>458</v>
      </c>
      <c r="F9" s="18">
        <v>1907</v>
      </c>
      <c r="G9" s="18">
        <v>2105</v>
      </c>
      <c r="H9" s="18">
        <f>F9+G9-B9-D9</f>
        <v>0</v>
      </c>
      <c r="I9" s="18">
        <f>B9-F9</f>
        <v>-1865</v>
      </c>
      <c r="J9" s="18"/>
    </row>
    <row r="10" ht="20.05" customHeight="1">
      <c r="A10" s="31"/>
      <c r="B10" s="17">
        <v>64</v>
      </c>
      <c r="C10" s="18">
        <v>4588</v>
      </c>
      <c r="D10" s="18">
        <f>C10-B10</f>
        <v>4524</v>
      </c>
      <c r="E10" s="18">
        <v>406</v>
      </c>
      <c r="F10" s="18">
        <v>2138</v>
      </c>
      <c r="G10" s="18">
        <v>2450</v>
      </c>
      <c r="H10" s="18">
        <f>F10+G10-B10-D10</f>
        <v>0</v>
      </c>
      <c r="I10" s="18">
        <f>B10-F10</f>
        <v>-2074</v>
      </c>
      <c r="J10" s="18"/>
    </row>
    <row r="11" ht="20.05" customHeight="1">
      <c r="A11" s="32">
        <v>2019</v>
      </c>
      <c r="B11" s="17">
        <v>52</v>
      </c>
      <c r="C11" s="18">
        <v>4503</v>
      </c>
      <c r="D11" s="18">
        <f>C11-B11</f>
        <v>4451</v>
      </c>
      <c r="E11" s="18">
        <v>442</v>
      </c>
      <c r="F11" s="18">
        <v>1993</v>
      </c>
      <c r="G11" s="18">
        <v>2510</v>
      </c>
      <c r="H11" s="18">
        <f>F11+G11-B11-D11</f>
        <v>0</v>
      </c>
      <c r="I11" s="18">
        <f>B11-F11</f>
        <v>-1941</v>
      </c>
      <c r="J11" s="18"/>
    </row>
    <row r="12" ht="20.05" customHeight="1">
      <c r="A12" s="31"/>
      <c r="B12" s="17">
        <v>54</v>
      </c>
      <c r="C12" s="18">
        <v>4868</v>
      </c>
      <c r="D12" s="18">
        <f>C12-B12</f>
        <v>4814</v>
      </c>
      <c r="E12" s="18">
        <v>455</v>
      </c>
      <c r="F12" s="18">
        <v>2295</v>
      </c>
      <c r="G12" s="18">
        <v>2573</v>
      </c>
      <c r="H12" s="18">
        <f>F12+G12-B12-D12</f>
        <v>0</v>
      </c>
      <c r="I12" s="18">
        <f>B12-F12</f>
        <v>-2241</v>
      </c>
      <c r="J12" s="18"/>
    </row>
    <row r="13" ht="20.05" customHeight="1">
      <c r="A13" s="31"/>
      <c r="B13" s="17">
        <v>50</v>
      </c>
      <c r="C13" s="18">
        <v>5154</v>
      </c>
      <c r="D13" s="18">
        <f>C13-B13</f>
        <v>5104</v>
      </c>
      <c r="E13" s="18">
        <v>477</v>
      </c>
      <c r="F13" s="18">
        <v>2522</v>
      </c>
      <c r="G13" s="18">
        <v>2632</v>
      </c>
      <c r="H13" s="18">
        <f>F13+G13-B13-D13</f>
        <v>0</v>
      </c>
      <c r="I13" s="18">
        <f>B13-F13</f>
        <v>-2472</v>
      </c>
      <c r="J13" s="18"/>
    </row>
    <row r="14" ht="20.05" customHeight="1">
      <c r="A14" s="31"/>
      <c r="B14" s="17">
        <v>24</v>
      </c>
      <c r="C14" s="18">
        <v>5515</v>
      </c>
      <c r="D14" s="18">
        <f>C14-B14</f>
        <v>5491</v>
      </c>
      <c r="E14" s="18">
        <v>496</v>
      </c>
      <c r="F14" s="18">
        <v>2811</v>
      </c>
      <c r="G14" s="18">
        <v>2704</v>
      </c>
      <c r="H14" s="18">
        <f>F14+G14-B14-D14</f>
        <v>0</v>
      </c>
      <c r="I14" s="18">
        <f>B14-F14</f>
        <v>-2787</v>
      </c>
      <c r="J14" s="21"/>
    </row>
    <row r="15" ht="20.05" customHeight="1">
      <c r="A15" s="32">
        <v>2020</v>
      </c>
      <c r="B15" s="17">
        <v>30</v>
      </c>
      <c r="C15" s="18">
        <v>5672</v>
      </c>
      <c r="D15" s="18">
        <f>C15-B15</f>
        <v>5642</v>
      </c>
      <c r="E15" s="18">
        <v>520</v>
      </c>
      <c r="F15" s="18">
        <v>2911</v>
      </c>
      <c r="G15" s="18">
        <v>2761</v>
      </c>
      <c r="H15" s="18">
        <f>F15+G15-B15-D15</f>
        <v>0</v>
      </c>
      <c r="I15" s="18">
        <f>B15-F15</f>
        <v>-2881</v>
      </c>
      <c r="J15" s="21"/>
    </row>
    <row r="16" ht="20.05" customHeight="1">
      <c r="A16" s="31"/>
      <c r="B16" s="17">
        <v>23</v>
      </c>
      <c r="C16" s="18">
        <v>5592</v>
      </c>
      <c r="D16" s="18">
        <f>C16-B16</f>
        <v>5569</v>
      </c>
      <c r="E16" s="18">
        <v>541</v>
      </c>
      <c r="F16" s="18">
        <v>2775</v>
      </c>
      <c r="G16" s="18">
        <v>2817</v>
      </c>
      <c r="H16" s="18">
        <f>F16+G16-B16-D16</f>
        <v>0</v>
      </c>
      <c r="I16" s="18">
        <f>B16-F16</f>
        <v>-2752</v>
      </c>
      <c r="J16" s="21"/>
    </row>
    <row r="17" ht="20.05" customHeight="1">
      <c r="A17" s="31"/>
      <c r="B17" s="17">
        <v>32</v>
      </c>
      <c r="C17" s="18">
        <v>5645</v>
      </c>
      <c r="D17" s="18">
        <f>C17-B17</f>
        <v>5613</v>
      </c>
      <c r="E17" s="21">
        <f>15+550</f>
        <v>565</v>
      </c>
      <c r="F17" s="18">
        <v>2737</v>
      </c>
      <c r="G17" s="18">
        <v>2908</v>
      </c>
      <c r="H17" s="18">
        <f>F17+G17-B17-D17</f>
        <v>0</v>
      </c>
      <c r="I17" s="18">
        <f>B17-F17</f>
        <v>-2705</v>
      </c>
      <c r="J17" s="18"/>
    </row>
    <row r="18" ht="20.05" customHeight="1">
      <c r="A18" s="31"/>
      <c r="B18" s="20">
        <v>42</v>
      </c>
      <c r="C18" s="18">
        <v>5949</v>
      </c>
      <c r="D18" s="18">
        <f>C18-B18</f>
        <v>5907</v>
      </c>
      <c r="E18" s="21">
        <f>570+16</f>
        <v>586</v>
      </c>
      <c r="F18" s="18">
        <v>2919</v>
      </c>
      <c r="G18" s="18">
        <v>3030</v>
      </c>
      <c r="H18" s="18">
        <f>F18+G18-B18-D18</f>
        <v>0</v>
      </c>
      <c r="I18" s="18">
        <f>B18-F18</f>
        <v>-2877</v>
      </c>
      <c r="J18" s="18"/>
    </row>
    <row r="19" ht="20.05" customHeight="1">
      <c r="A19" s="32">
        <v>2021</v>
      </c>
      <c r="B19" s="20">
        <v>30</v>
      </c>
      <c r="C19" s="18">
        <v>6040</v>
      </c>
      <c r="D19" s="18">
        <f>C19-B19</f>
        <v>6010</v>
      </c>
      <c r="E19" s="21">
        <f>590+18</f>
        <v>608</v>
      </c>
      <c r="F19" s="18">
        <v>2908</v>
      </c>
      <c r="G19" s="18">
        <v>3132</v>
      </c>
      <c r="H19" s="18">
        <f>F19+G19-B19-D19</f>
        <v>0</v>
      </c>
      <c r="I19" s="18">
        <f>B19-F19</f>
        <v>-2878</v>
      </c>
      <c r="J19" s="18"/>
    </row>
    <row r="20" ht="20.05" customHeight="1">
      <c r="A20" s="31"/>
      <c r="B20" s="20">
        <v>38</v>
      </c>
      <c r="C20" s="18">
        <v>6335</v>
      </c>
      <c r="D20" s="18">
        <f>C20-B20</f>
        <v>6297</v>
      </c>
      <c r="E20" s="21">
        <f>596+15</f>
        <v>611</v>
      </c>
      <c r="F20" s="18">
        <v>3013</v>
      </c>
      <c r="G20" s="18">
        <v>3322</v>
      </c>
      <c r="H20" s="18">
        <f>F20+G20-B20-D20</f>
        <v>0</v>
      </c>
      <c r="I20" s="18">
        <f>B20-F20</f>
        <v>-2975</v>
      </c>
      <c r="J20" s="18"/>
    </row>
    <row r="21" ht="20.05" customHeight="1">
      <c r="A21" s="31"/>
      <c r="B21" s="20">
        <v>25</v>
      </c>
      <c r="C21" s="18">
        <v>6488</v>
      </c>
      <c r="D21" s="18">
        <f>C21-B21</f>
        <v>6463</v>
      </c>
      <c r="E21" s="21">
        <f>13+616</f>
        <v>629</v>
      </c>
      <c r="F21" s="18">
        <v>3048</v>
      </c>
      <c r="G21" s="18">
        <v>3440</v>
      </c>
      <c r="H21" s="18">
        <f>F21+G21-B21-D21</f>
        <v>0</v>
      </c>
      <c r="I21" s="18">
        <f>B21-F21</f>
        <v>-3023</v>
      </c>
      <c r="J21" s="18">
        <f>I21</f>
        <v>-3023</v>
      </c>
    </row>
    <row r="22" ht="20.05" customHeight="1">
      <c r="A22" s="31"/>
      <c r="B22" s="20"/>
      <c r="C22" s="18"/>
      <c r="D22" s="18"/>
      <c r="E22" s="21"/>
      <c r="F22" s="18"/>
      <c r="G22" s="18"/>
      <c r="H22" s="18"/>
      <c r="I22" s="18"/>
      <c r="J22" s="18">
        <f>'Model'!F30</f>
        <v>-2882.914818962160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6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4219" style="40" customWidth="1"/>
    <col min="2" max="2" width="7.60938" style="40" customWidth="1"/>
    <col min="3" max="3" width="8.99219" style="40" customWidth="1"/>
    <col min="4" max="4" width="8.85156" style="40" customWidth="1"/>
    <col min="5" max="16384" width="16.3516" style="40" customWidth="1"/>
  </cols>
  <sheetData>
    <row r="1" ht="40.5" customHeight="1"/>
    <row r="2" ht="27.65" customHeight="1">
      <c r="B2" t="s" s="2">
        <v>55</v>
      </c>
      <c r="C2" s="2"/>
      <c r="D2" s="2"/>
    </row>
    <row r="3" ht="20.35" customHeight="1">
      <c r="B3" s="5"/>
      <c r="C3" t="s" s="41">
        <v>56</v>
      </c>
      <c r="D3" t="s" s="41">
        <v>57</v>
      </c>
    </row>
    <row r="4" ht="20.7" customHeight="1">
      <c r="B4" s="27">
        <v>2017</v>
      </c>
      <c r="C4" s="42"/>
      <c r="D4" s="43"/>
    </row>
    <row r="5" ht="20.7" customHeight="1">
      <c r="B5" s="31"/>
      <c r="C5" s="44"/>
      <c r="D5" s="45"/>
    </row>
    <row r="6" ht="20.7" customHeight="1">
      <c r="B6" s="31"/>
      <c r="C6" s="44"/>
      <c r="D6" s="45"/>
    </row>
    <row r="7" ht="20.7" customHeight="1">
      <c r="B7" s="31"/>
      <c r="C7" s="44"/>
      <c r="D7" s="45"/>
    </row>
    <row r="8" ht="20.7" customHeight="1">
      <c r="B8" s="31"/>
      <c r="C8" s="44"/>
      <c r="D8" s="45"/>
    </row>
    <row r="9" ht="20.7" customHeight="1">
      <c r="B9" s="31"/>
      <c r="C9" s="46"/>
      <c r="D9" s="45"/>
    </row>
    <row r="10" ht="20.7" customHeight="1">
      <c r="B10" s="31"/>
      <c r="C10" s="47">
        <v>244</v>
      </c>
      <c r="D10" s="45"/>
    </row>
    <row r="11" ht="20.7" customHeight="1">
      <c r="B11" s="31"/>
      <c r="C11" s="47">
        <v>250</v>
      </c>
      <c r="D11" s="45"/>
    </row>
    <row r="12" ht="20.7" customHeight="1">
      <c r="B12" s="31"/>
      <c r="C12" s="47">
        <v>224</v>
      </c>
      <c r="D12" s="45"/>
    </row>
    <row r="13" ht="20.7" customHeight="1">
      <c r="B13" s="31"/>
      <c r="C13" s="47">
        <v>232</v>
      </c>
      <c r="D13" s="45"/>
    </row>
    <row r="14" ht="20.7" customHeight="1">
      <c r="B14" s="31"/>
      <c r="C14" s="47">
        <v>236</v>
      </c>
      <c r="D14" s="45"/>
    </row>
    <row r="15" ht="20.7" customHeight="1">
      <c r="B15" s="31"/>
      <c r="C15" s="47">
        <v>244</v>
      </c>
      <c r="D15" s="45"/>
    </row>
    <row r="16" ht="20.7" customHeight="1">
      <c r="B16" s="32">
        <v>2018</v>
      </c>
      <c r="C16" s="47">
        <v>224</v>
      </c>
      <c r="D16" s="45"/>
    </row>
    <row r="17" ht="20.7" customHeight="1">
      <c r="B17" s="31"/>
      <c r="C17" s="47">
        <v>304</v>
      </c>
      <c r="D17" s="45"/>
    </row>
    <row r="18" ht="20.7" customHeight="1">
      <c r="B18" s="31"/>
      <c r="C18" s="47">
        <v>320</v>
      </c>
      <c r="D18" s="45"/>
    </row>
    <row r="19" ht="20.7" customHeight="1">
      <c r="B19" s="31"/>
      <c r="C19" s="47">
        <v>392</v>
      </c>
      <c r="D19" s="45"/>
    </row>
    <row r="20" ht="20.7" customHeight="1">
      <c r="B20" s="31"/>
      <c r="C20" s="47">
        <v>540</v>
      </c>
      <c r="D20" s="45"/>
    </row>
    <row r="21" ht="20.7" customHeight="1">
      <c r="B21" s="31"/>
      <c r="C21" s="47">
        <v>498</v>
      </c>
      <c r="D21" s="45"/>
    </row>
    <row r="22" ht="20.7" customHeight="1">
      <c r="B22" s="31"/>
      <c r="C22" s="47">
        <v>560</v>
      </c>
      <c r="D22" s="45"/>
    </row>
    <row r="23" ht="20.7" customHeight="1">
      <c r="B23" s="31"/>
      <c r="C23" s="47">
        <v>640</v>
      </c>
      <c r="D23" s="45"/>
    </row>
    <row r="24" ht="20.7" customHeight="1">
      <c r="B24" s="31"/>
      <c r="C24" s="47">
        <v>625</v>
      </c>
      <c r="D24" s="45"/>
    </row>
    <row r="25" ht="20.7" customHeight="1">
      <c r="B25" s="31"/>
      <c r="C25" s="47">
        <v>600</v>
      </c>
      <c r="D25" s="45"/>
    </row>
    <row r="26" ht="20.7" customHeight="1">
      <c r="B26" s="31"/>
      <c r="C26" s="47">
        <v>530</v>
      </c>
      <c r="D26" s="45"/>
    </row>
    <row r="27" ht="20.7" customHeight="1">
      <c r="B27" s="31"/>
      <c r="C27" s="47">
        <v>615</v>
      </c>
      <c r="D27" s="45"/>
    </row>
    <row r="28" ht="20.7" customHeight="1">
      <c r="B28" s="32">
        <v>2019</v>
      </c>
      <c r="C28" s="47">
        <v>595</v>
      </c>
      <c r="D28" s="45"/>
    </row>
    <row r="29" ht="20.7" customHeight="1">
      <c r="B29" s="31"/>
      <c r="C29" s="47">
        <v>900</v>
      </c>
      <c r="D29" s="48"/>
    </row>
    <row r="30" ht="20.7" customHeight="1">
      <c r="B30" s="31"/>
      <c r="C30" s="47">
        <v>880</v>
      </c>
      <c r="D30" s="45"/>
    </row>
    <row r="31" ht="20.7" customHeight="1">
      <c r="B31" s="31"/>
      <c r="C31" s="47">
        <v>835</v>
      </c>
      <c r="D31" s="45"/>
    </row>
    <row r="32" ht="20.7" customHeight="1">
      <c r="B32" s="31"/>
      <c r="C32" s="47">
        <v>895</v>
      </c>
      <c r="D32" s="45"/>
    </row>
    <row r="33" ht="20.7" customHeight="1">
      <c r="B33" s="31"/>
      <c r="C33" s="47">
        <v>855</v>
      </c>
      <c r="D33" s="45"/>
    </row>
    <row r="34" ht="20.7" customHeight="1">
      <c r="B34" s="31"/>
      <c r="C34" s="47">
        <v>850</v>
      </c>
      <c r="D34" s="45"/>
    </row>
    <row r="35" ht="20.7" customHeight="1">
      <c r="B35" s="31"/>
      <c r="C35" s="47">
        <v>800</v>
      </c>
      <c r="D35" s="45"/>
    </row>
    <row r="36" ht="20.7" customHeight="1">
      <c r="B36" s="31"/>
      <c r="C36" s="47">
        <v>800</v>
      </c>
      <c r="D36" s="45"/>
    </row>
    <row r="37" ht="20.35" customHeight="1">
      <c r="B37" s="31"/>
      <c r="C37" s="47">
        <v>765</v>
      </c>
      <c r="D37" s="49"/>
    </row>
    <row r="38" ht="20.05" customHeight="1">
      <c r="B38" s="31"/>
      <c r="C38" s="47">
        <v>705</v>
      </c>
      <c r="D38" s="50"/>
    </row>
    <row r="39" ht="20.05" customHeight="1">
      <c r="B39" s="31"/>
      <c r="C39" s="47">
        <v>685</v>
      </c>
      <c r="D39" s="50"/>
    </row>
    <row r="40" ht="20.05" customHeight="1">
      <c r="B40" s="32">
        <v>2020</v>
      </c>
      <c r="C40" s="47">
        <v>470</v>
      </c>
      <c r="D40" s="50"/>
    </row>
    <row r="41" ht="20.05" customHeight="1">
      <c r="B41" s="31"/>
      <c r="C41" s="47">
        <v>396</v>
      </c>
      <c r="D41" s="50"/>
    </row>
    <row r="42" ht="20.05" customHeight="1">
      <c r="B42" s="31"/>
      <c r="C42" s="47">
        <v>248</v>
      </c>
      <c r="D42" s="50"/>
    </row>
    <row r="43" ht="20.05" customHeight="1">
      <c r="B43" s="31"/>
      <c r="C43" s="47">
        <v>282</v>
      </c>
      <c r="D43" s="50"/>
    </row>
    <row r="44" ht="20.05" customHeight="1">
      <c r="B44" s="31"/>
      <c r="C44" s="47">
        <v>336</v>
      </c>
      <c r="D44" s="22"/>
    </row>
    <row r="45" ht="20.05" customHeight="1">
      <c r="B45" s="31"/>
      <c r="C45" s="47">
        <v>392</v>
      </c>
      <c r="D45" s="22"/>
    </row>
    <row r="46" ht="20.05" customHeight="1">
      <c r="B46" s="31"/>
      <c r="C46" s="17">
        <v>380</v>
      </c>
      <c r="D46" s="22"/>
    </row>
    <row r="47" ht="20.05" customHeight="1">
      <c r="B47" s="31"/>
      <c r="C47" s="17">
        <v>402</v>
      </c>
      <c r="D47" s="22"/>
    </row>
    <row r="48" ht="20.05" customHeight="1">
      <c r="B48" s="31"/>
      <c r="C48" s="17">
        <v>380</v>
      </c>
      <c r="D48" s="22"/>
    </row>
    <row r="49" ht="20.05" customHeight="1">
      <c r="B49" s="31"/>
      <c r="C49" s="17">
        <v>480</v>
      </c>
      <c r="D49" s="22"/>
    </row>
    <row r="50" ht="20.05" customHeight="1">
      <c r="B50" s="31"/>
      <c r="C50" s="17">
        <v>610</v>
      </c>
      <c r="D50" s="22"/>
    </row>
    <row r="51" ht="20.05" customHeight="1">
      <c r="B51" s="31"/>
      <c r="C51" s="17">
        <v>560</v>
      </c>
      <c r="D51" s="22"/>
    </row>
    <row r="52" ht="20.05" customHeight="1">
      <c r="B52" s="32">
        <v>2021</v>
      </c>
      <c r="C52" s="17">
        <v>615</v>
      </c>
      <c r="D52" s="22"/>
    </row>
    <row r="53" ht="20.05" customHeight="1">
      <c r="B53" s="31"/>
      <c r="C53" s="17">
        <v>615</v>
      </c>
      <c r="D53" s="22"/>
    </row>
    <row r="54" ht="20.05" customHeight="1">
      <c r="B54" s="31"/>
      <c r="C54" s="17">
        <v>740</v>
      </c>
      <c r="D54" s="22"/>
    </row>
    <row r="55" ht="20.05" customHeight="1">
      <c r="B55" s="31"/>
      <c r="C55" s="17">
        <v>800</v>
      </c>
      <c r="D55" s="22"/>
    </row>
    <row r="56" ht="20.05" customHeight="1">
      <c r="B56" s="31"/>
      <c r="C56" s="17">
        <v>810</v>
      </c>
      <c r="D56" s="22"/>
    </row>
    <row r="57" ht="20.05" customHeight="1">
      <c r="B57" s="31"/>
      <c r="C57" s="17">
        <v>740</v>
      </c>
      <c r="D57" s="22"/>
    </row>
    <row r="58" ht="20.05" customHeight="1">
      <c r="B58" s="31"/>
      <c r="C58" s="17">
        <v>795</v>
      </c>
      <c r="D58" s="21">
        <v>218.978008961367</v>
      </c>
    </row>
    <row r="59" ht="20.05" customHeight="1">
      <c r="B59" s="31"/>
      <c r="C59" s="17">
        <v>760</v>
      </c>
      <c r="D59" s="21">
        <v>218.978008961367</v>
      </c>
    </row>
    <row r="60" ht="20.05" customHeight="1">
      <c r="B60" s="31"/>
      <c r="C60" s="17">
        <v>685</v>
      </c>
      <c r="D60" s="21">
        <v>218.978008961367</v>
      </c>
    </row>
    <row r="61" ht="20.05" customHeight="1">
      <c r="B61" s="31"/>
      <c r="C61" s="17">
        <v>820</v>
      </c>
      <c r="D61" s="22"/>
    </row>
    <row r="62" ht="20.05" customHeight="1">
      <c r="B62" s="31"/>
      <c r="C62" s="17">
        <v>885</v>
      </c>
      <c r="D62" s="21">
        <f>C62</f>
        <v>885</v>
      </c>
    </row>
    <row r="63" ht="20.05" customHeight="1">
      <c r="B63" s="31"/>
      <c r="C63" s="17"/>
      <c r="D63" s="21">
        <f>'Model'!F42</f>
        <v>546.256181923437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