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 " sheetId="2" r:id="rId5"/>
  </sheets>
</workbook>
</file>

<file path=xl/sharedStrings.xml><?xml version="1.0" encoding="utf-8"?>
<sst xmlns="http://schemas.openxmlformats.org/spreadsheetml/2006/main" uniqueCount="44">
  <si>
    <t>Model</t>
  </si>
  <si>
    <t>Rpbn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</si>
  <si>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</si>
  <si>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</si>
  <si>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</si>
  <si>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</si>
  <si>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</si>
  <si>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</si>
  <si>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Non cash costs </t>
  </si>
  <si>
    <t xml:space="preserve">Profit 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</si>
  <si>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</si>
  <si>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</si>
  <si>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</si>
  <si>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</si>
  <si>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</si>
  <si>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</si>
  <si>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</si>
  <si>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</si>
  <si>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</si>
  <si>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Balance sheet </t>
  </si>
  <si>
    <t xml:space="preserve">Other assets </t>
  </si>
  <si>
    <t xml:space="preserve">Depreciation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</si>
  <si>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</si>
  <si>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</si>
  <si>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</si>
  <si>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</si>
  <si>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</si>
  <si>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</si>
  <si>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</si>
  <si>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</si>
  <si>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</si>
  <si>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</si>
  <si>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</si>
  <si>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Current </t>
  </si>
  <si>
    <t xml:space="preserve">Target </t>
  </si>
  <si>
    <t xml:space="preserve">V target </t>
  </si>
  <si>
    <t xml:space="preserve">12 month growth </t>
  </si>
  <si>
    <t>Data</t>
  </si>
  <si>
    <t xml:space="preserve">Receipts </t>
  </si>
  <si>
    <t xml:space="preserve">Leases </t>
  </si>
  <si>
    <t xml:space="preserve">Interest </t>
  </si>
  <si>
    <t xml:space="preserve">Assets </t>
  </si>
  <si>
    <t xml:space="preserve">Cashflow costs </t>
  </si>
  <si>
    <t>WMUU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</si>
</sst>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#,##0%"/>
    <numFmt numFmtId="61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60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601991</xdr:colOff>
      <xdr:row>0</xdr:row>
      <xdr:rowOff>153122</xdr:rowOff>
    </xdr:from>
    <xdr:to>
      <xdr:col>11</xdr:col>
      <xdr:colOff>800012</xdr:colOff>
      <xdr:row>40</xdr:row>
      <xdr:rowOff>123247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37391" y="153122"/>
          <a:ext cx="7665622" cy="102571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8.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3">
        <v>2</v>
      </c>
      <c r="C2" s="4"/>
      <c r="D2" s="4"/>
      <c r="E2" s="4"/>
    </row>
    <row r="3" ht="20.25" customHeight="1">
      <c r="A3" t="s" s="5">
        <v>3</v>
      </c>
      <c r="B3" s="6">
        <f>AVERAGE('Data '!F3:H3)</f>
        <v>0.235131826598886</v>
      </c>
      <c r="C3" s="7"/>
      <c r="D3" s="7"/>
      <c r="E3" s="8">
        <f>AVERAGE(B4:E4)</f>
        <v>0.075</v>
      </c>
    </row>
    <row r="4" ht="20.05" customHeight="1">
      <c r="A4" t="s" s="9">
        <v>4</v>
      </c>
      <c r="B4" s="10">
        <v>0.13</v>
      </c>
      <c r="C4" s="11">
        <v>-0.03</v>
      </c>
      <c r="D4" s="12">
        <v>0.1</v>
      </c>
      <c r="E4" s="12">
        <v>0.1</v>
      </c>
    </row>
    <row r="5" ht="20.05" customHeight="1">
      <c r="A5" t="s" s="9">
        <v>5</v>
      </c>
      <c r="B5" s="13">
        <f>'Data '!H4*(1+B4)</f>
        <v>995.3672800000001</v>
      </c>
      <c r="C5" s="14">
        <f>B5*(1+C4)</f>
        <v>965.5062616</v>
      </c>
      <c r="D5" s="14">
        <f>C5*(1+D4)</f>
        <v>1062.05688776</v>
      </c>
      <c r="E5" s="14">
        <f>D5*(1+E4)</f>
        <v>1168.262576536</v>
      </c>
    </row>
    <row r="6" ht="20.05" customHeight="1">
      <c r="A6" t="s" s="9">
        <v>6</v>
      </c>
      <c r="B6" s="15">
        <f>'Data '!H20</f>
        <v>-0.928024557930014</v>
      </c>
      <c r="C6" s="16">
        <f>B6</f>
        <v>-0.928024557930014</v>
      </c>
      <c r="D6" s="16">
        <f>C6</f>
        <v>-0.928024557930014</v>
      </c>
      <c r="E6" s="16">
        <f>D6</f>
        <v>-0.928024557930014</v>
      </c>
    </row>
    <row r="7" ht="20.05" customHeight="1">
      <c r="A7" t="s" s="9">
        <v>7</v>
      </c>
      <c r="B7" s="13">
        <f>B5*B6</f>
        <v>-923.72528</v>
      </c>
      <c r="C7" s="17">
        <f>C5*C6</f>
        <v>-896.0135216</v>
      </c>
      <c r="D7" s="17">
        <f>D5*D6</f>
        <v>-985.61487376</v>
      </c>
      <c r="E7" s="17">
        <f>E5*E6</f>
        <v>-1084.176361136</v>
      </c>
    </row>
    <row r="8" ht="20.05" customHeight="1">
      <c r="A8" t="s" s="9">
        <v>8</v>
      </c>
      <c r="B8" s="13">
        <f>-'Data '!H18</f>
        <v>-7.5</v>
      </c>
      <c r="C8" s="14">
        <f>B8</f>
        <v>-7.5</v>
      </c>
      <c r="D8" s="14">
        <f>C8</f>
        <v>-7.5</v>
      </c>
      <c r="E8" s="14">
        <f>D8</f>
        <v>-7.5</v>
      </c>
    </row>
    <row r="9" ht="20.05" customHeight="1">
      <c r="A9" t="s" s="9">
        <v>9</v>
      </c>
      <c r="B9" s="13">
        <f>B5+B7+B8</f>
        <v>64.142</v>
      </c>
      <c r="C9" s="17">
        <f>C5+C7+C8</f>
        <v>61.99274</v>
      </c>
      <c r="D9" s="17">
        <f>D5+D7+D8</f>
        <v>68.942014</v>
      </c>
      <c r="E9" s="17">
        <f>E5+E7+E8</f>
        <v>76.5862154</v>
      </c>
    </row>
    <row r="10" ht="20.05" customHeight="1">
      <c r="A10" t="s" s="9">
        <v>10</v>
      </c>
      <c r="B10" s="13">
        <f>B5+B7</f>
        <v>71.642</v>
      </c>
      <c r="C10" s="17">
        <f>C5+C7</f>
        <v>69.49274</v>
      </c>
      <c r="D10" s="17">
        <f>D5+D7</f>
        <v>76.442014</v>
      </c>
      <c r="E10" s="17">
        <f>E5+E7</f>
        <v>84.0862154</v>
      </c>
    </row>
    <row r="11" ht="20.05" customHeight="1">
      <c r="A11" t="s" s="9">
        <v>11</v>
      </c>
      <c r="B11" s="13">
        <f>'Data '!G9</f>
        <v>-129.034</v>
      </c>
      <c r="C11" s="14">
        <f>B11</f>
        <v>-129.034</v>
      </c>
      <c r="D11" s="14">
        <f>C11</f>
        <v>-129.034</v>
      </c>
      <c r="E11" s="14">
        <f>D11</f>
        <v>-129.034</v>
      </c>
    </row>
    <row r="12" ht="20.05" customHeight="1">
      <c r="A12" t="s" s="9">
        <v>12</v>
      </c>
      <c r="B12" s="18">
        <f>-'Data '!H25/20</f>
        <v>-47.3236</v>
      </c>
      <c r="C12" s="17">
        <f>-B22/20</f>
        <v>-44.95742</v>
      </c>
      <c r="D12" s="17">
        <f>-C22/20</f>
        <v>-42.709549</v>
      </c>
      <c r="E12" s="17">
        <f>-D22/20</f>
        <v>-40.57407155</v>
      </c>
    </row>
    <row r="13" ht="20.05" customHeight="1">
      <c r="A13" t="s" s="9">
        <v>13</v>
      </c>
      <c r="B13" s="13">
        <f>IF(B9&gt;0,-B9*0,0)</f>
        <v>0</v>
      </c>
      <c r="C13" s="17">
        <f>IF(C9&gt;0,-C9*0,0)</f>
        <v>0</v>
      </c>
      <c r="D13" s="17">
        <f>IF(D9&gt;0,-D9*0,0)</f>
        <v>0</v>
      </c>
      <c r="E13" s="17">
        <f>IF(E9&gt;0,-E9*0,0)</f>
        <v>0</v>
      </c>
    </row>
    <row r="14" ht="20.05" customHeight="1">
      <c r="A14" t="s" s="9">
        <v>14</v>
      </c>
      <c r="B14" s="18">
        <f>B10+B11+B12+B13</f>
        <v>-104.7156</v>
      </c>
      <c r="C14" s="17">
        <f>C10+C11+C12+C13</f>
        <v>-104.49868</v>
      </c>
      <c r="D14" s="17">
        <f>D10+D11+D12+D13</f>
        <v>-95.301535</v>
      </c>
      <c r="E14" s="17">
        <f>E10+E11+E12+E13</f>
        <v>-85.52185615</v>
      </c>
    </row>
    <row r="15" ht="20.05" customHeight="1">
      <c r="A15" t="s" s="9">
        <v>15</v>
      </c>
      <c r="B15" s="18">
        <f>-MIN(0,B14)</f>
        <v>104.7156</v>
      </c>
      <c r="C15" s="17">
        <f>-MIN(B23,C14)</f>
        <v>104.49868</v>
      </c>
      <c r="D15" s="17">
        <f>-MIN(C23,D14)</f>
        <v>95.301535</v>
      </c>
      <c r="E15" s="17">
        <f>-MIN(D23,E14)</f>
        <v>85.52185615</v>
      </c>
    </row>
    <row r="16" ht="20.05" customHeight="1">
      <c r="A16" t="s" s="9">
        <v>16</v>
      </c>
      <c r="B16" s="13">
        <f>'Data '!H16</f>
        <v>54.351</v>
      </c>
      <c r="C16" s="14">
        <f>B18</f>
        <v>54.351</v>
      </c>
      <c r="D16" s="14">
        <f>C18</f>
        <v>54.351</v>
      </c>
      <c r="E16" s="14">
        <f>D18</f>
        <v>54.351</v>
      </c>
    </row>
    <row r="17" ht="20.05" customHeight="1">
      <c r="A17" t="s" s="9">
        <v>17</v>
      </c>
      <c r="B17" s="18">
        <f>B10+B11+B12+B13+B15</f>
        <v>0</v>
      </c>
      <c r="C17" s="17">
        <f>C10+C11+C12+C13+C15</f>
        <v>0</v>
      </c>
      <c r="D17" s="17">
        <f>D10+D11+D12+D13+D15</f>
        <v>0</v>
      </c>
      <c r="E17" s="17">
        <f>E10+E11+E12+E13+E15</f>
        <v>0</v>
      </c>
    </row>
    <row r="18" ht="20.05" customHeight="1">
      <c r="A18" t="s" s="9">
        <v>18</v>
      </c>
      <c r="B18" s="13">
        <f>B16+B17</f>
        <v>54.351</v>
      </c>
      <c r="C18" s="14">
        <f>C16+C17</f>
        <v>54.351</v>
      </c>
      <c r="D18" s="14">
        <f>D16+D17</f>
        <v>54.351</v>
      </c>
      <c r="E18" s="14">
        <f>E16+E17</f>
        <v>54.351</v>
      </c>
    </row>
    <row r="19" ht="20.05" customHeight="1">
      <c r="A19" t="s" s="19">
        <v>19</v>
      </c>
      <c r="B19" s="20"/>
      <c r="C19" s="21"/>
      <c r="D19" s="21"/>
      <c r="E19" s="21"/>
    </row>
    <row r="20" ht="20.05" customHeight="1">
      <c r="A20" t="s" s="9">
        <v>20</v>
      </c>
      <c r="B20" s="18">
        <f>'Data '!H24+'Data '!H23-B11</f>
        <v>2250.617</v>
      </c>
      <c r="C20" s="14">
        <f>B20-C11</f>
        <v>2379.651</v>
      </c>
      <c r="D20" s="14">
        <f>C20-D11</f>
        <v>2508.685</v>
      </c>
      <c r="E20" s="14">
        <f>D20-E11</f>
        <v>2637.719</v>
      </c>
    </row>
    <row r="21" ht="20.05" customHeight="1">
      <c r="A21" t="s" s="9">
        <v>21</v>
      </c>
      <c r="B21" s="18">
        <f>'Data '!H23-B8</f>
        <v>73.90000000000001</v>
      </c>
      <c r="C21" s="14">
        <f>B21-C8</f>
        <v>81.40000000000001</v>
      </c>
      <c r="D21" s="14">
        <f>C21-D8</f>
        <v>88.90000000000001</v>
      </c>
      <c r="E21" s="14">
        <f>D21-E8</f>
        <v>96.40000000000001</v>
      </c>
    </row>
    <row r="22" ht="20.05" customHeight="1">
      <c r="A22" t="s" s="9">
        <v>12</v>
      </c>
      <c r="B22" s="18">
        <f>'Data '!H25+B12</f>
        <v>899.1484</v>
      </c>
      <c r="C22" s="17">
        <f>B22+C12</f>
        <v>854.19098</v>
      </c>
      <c r="D22" s="17">
        <f>C22+D12</f>
        <v>811.481431</v>
      </c>
      <c r="E22" s="17">
        <f>D22+E12</f>
        <v>770.9073594499999</v>
      </c>
    </row>
    <row r="23" ht="20.05" customHeight="1">
      <c r="A23" t="s" s="9">
        <v>15</v>
      </c>
      <c r="B23" s="18">
        <f>B15</f>
        <v>104.7156</v>
      </c>
      <c r="C23" s="17">
        <f>B23+C15</f>
        <v>209.21428</v>
      </c>
      <c r="D23" s="17">
        <f>C23+D15</f>
        <v>304.515815</v>
      </c>
      <c r="E23" s="17">
        <f>D23+E15</f>
        <v>390.03767115</v>
      </c>
    </row>
    <row r="24" ht="20.05" customHeight="1">
      <c r="A24" t="s" s="9">
        <v>13</v>
      </c>
      <c r="B24" s="13">
        <f>'Data '!H26+B13+B9</f>
        <v>1227.242</v>
      </c>
      <c r="C24" s="14">
        <f>B24+C13+C9</f>
        <v>1289.23474</v>
      </c>
      <c r="D24" s="14">
        <f>C24+D13+D9</f>
        <v>1358.176754</v>
      </c>
      <c r="E24" s="14">
        <f>D24+E13+E9</f>
        <v>1434.7629694</v>
      </c>
    </row>
    <row r="25" ht="20.05" customHeight="1">
      <c r="A25" t="s" s="9">
        <v>22</v>
      </c>
      <c r="B25" s="18">
        <f>B22+B23+B24-B18-(B20-B21)</f>
        <v>0.038</v>
      </c>
      <c r="C25" s="17">
        <f>C22+C23+C24-C18-(C20-C21)</f>
        <v>0.038</v>
      </c>
      <c r="D25" s="17">
        <f>D22+D23+D24-D18-(D20-D21)</f>
        <v>0.038</v>
      </c>
      <c r="E25" s="17">
        <f>E22+E23+E24-E18-(E20-E21)</f>
        <v>0.038</v>
      </c>
    </row>
    <row r="26" ht="20.05" customHeight="1">
      <c r="A26" t="s" s="9">
        <v>23</v>
      </c>
      <c r="B26" s="18">
        <f>B18-B22-B23</f>
        <v>-949.513</v>
      </c>
      <c r="C26" s="17">
        <f>C18-C22-C23</f>
        <v>-1009.05426</v>
      </c>
      <c r="D26" s="17">
        <f>D18-D22-D23</f>
        <v>-1061.646246</v>
      </c>
      <c r="E26" s="17">
        <f>E18-E22-E23</f>
        <v>-1106.5940306</v>
      </c>
    </row>
    <row r="27" ht="20.05" customHeight="1">
      <c r="A27" t="s" s="19">
        <v>24</v>
      </c>
      <c r="B27" s="20"/>
      <c r="C27" s="21"/>
      <c r="D27" s="21"/>
      <c r="E27" s="21"/>
    </row>
    <row r="28" ht="20.05" customHeight="1">
      <c r="A28" t="s" s="9">
        <v>25</v>
      </c>
      <c r="B28" s="13">
        <f>'Data '!H32-(B12+B13)</f>
        <v>-1502.6094</v>
      </c>
      <c r="C28" s="14">
        <f>B28-(C12+C15+C13)</f>
        <v>-1562.15066</v>
      </c>
      <c r="D28" s="14">
        <f>C28-(D12+D15+D13)</f>
        <v>-1614.742646</v>
      </c>
      <c r="E28" s="14">
        <f>D28-(E12+E15+E13)</f>
        <v>-1659.6904306</v>
      </c>
    </row>
    <row r="29" ht="20.05" customHeight="1">
      <c r="A29" t="s" s="9">
        <v>26</v>
      </c>
      <c r="B29" s="20"/>
      <c r="C29" s="21"/>
      <c r="D29" s="21"/>
      <c r="E29" s="14">
        <v>9263</v>
      </c>
    </row>
    <row r="30" ht="20.05" customHeight="1">
      <c r="A30" t="s" s="9">
        <v>27</v>
      </c>
      <c r="B30" s="20"/>
      <c r="C30" s="21"/>
      <c r="D30" s="21"/>
      <c r="E30" s="22">
        <f>E29/(E18+E20-E21)</f>
        <v>3.56863545828245</v>
      </c>
    </row>
    <row r="31" ht="20.05" customHeight="1">
      <c r="A31" t="s" s="9">
        <v>28</v>
      </c>
      <c r="B31" s="20"/>
      <c r="C31" s="21"/>
      <c r="D31" s="21"/>
      <c r="E31" s="16">
        <f>-(B13+C13+D13+E13)/E29</f>
        <v>0</v>
      </c>
    </row>
    <row r="32" ht="20.05" customHeight="1">
      <c r="A32" t="s" s="9">
        <v>3</v>
      </c>
      <c r="B32" s="20"/>
      <c r="C32" s="21"/>
      <c r="D32" s="21"/>
      <c r="E32" s="14">
        <f>SUM(B10:E10)</f>
        <v>301.6629694</v>
      </c>
    </row>
    <row r="33" ht="20.05" customHeight="1">
      <c r="A33" t="s" s="9">
        <v>29</v>
      </c>
      <c r="B33" s="20"/>
      <c r="C33" s="21"/>
      <c r="D33" s="21"/>
      <c r="E33" s="23">
        <f>'Data '!H24/E32</f>
        <v>6.81284482509639</v>
      </c>
    </row>
    <row r="34" ht="20.05" customHeight="1">
      <c r="A34" t="s" s="9">
        <v>24</v>
      </c>
      <c r="B34" s="20"/>
      <c r="C34" s="21"/>
      <c r="D34" s="21"/>
      <c r="E34" s="14">
        <f>E29/E32</f>
        <v>30.7064536904343</v>
      </c>
    </row>
    <row r="35" ht="20.05" customHeight="1">
      <c r="A35" t="s" s="9">
        <v>30</v>
      </c>
      <c r="B35" s="20"/>
      <c r="C35" s="21"/>
      <c r="D35" s="21"/>
      <c r="E35" s="24">
        <v>25</v>
      </c>
    </row>
    <row r="36" ht="20.05" customHeight="1">
      <c r="A36" t="s" s="9">
        <v>31</v>
      </c>
      <c r="B36" s="20"/>
      <c r="C36" s="21"/>
      <c r="D36" s="21"/>
      <c r="E36" s="17">
        <f>E32*E35</f>
        <v>7541.574235</v>
      </c>
    </row>
    <row r="37" ht="20.05" customHeight="1">
      <c r="A37" t="s" s="9">
        <v>32</v>
      </c>
      <c r="B37" s="20"/>
      <c r="C37" s="21"/>
      <c r="D37" s="21"/>
      <c r="E37" s="14">
        <f>E29/E38</f>
        <v>59.7612903225806</v>
      </c>
    </row>
    <row r="38" ht="20.05" customHeight="1">
      <c r="A38" t="s" s="9">
        <v>33</v>
      </c>
      <c r="B38" s="20"/>
      <c r="C38" s="21"/>
      <c r="D38" s="21"/>
      <c r="E38" s="14">
        <f>'Data '!I33</f>
        <v>155</v>
      </c>
    </row>
    <row r="39" ht="20.05" customHeight="1">
      <c r="A39" t="s" s="9">
        <v>34</v>
      </c>
      <c r="B39" s="20"/>
      <c r="C39" s="21"/>
      <c r="D39" s="21"/>
      <c r="E39" s="14">
        <f>E36/E37</f>
        <v>126.194969926050</v>
      </c>
    </row>
    <row r="40" ht="20.05" customHeight="1">
      <c r="A40" t="s" s="9">
        <v>35</v>
      </c>
      <c r="B40" s="20"/>
      <c r="C40" s="21"/>
      <c r="D40" s="21"/>
      <c r="E40" s="16">
        <f>E39/E38-1</f>
        <v>-0.185838903702903</v>
      </c>
    </row>
    <row r="41" ht="20.05" customHeight="1">
      <c r="A41" t="s" s="9">
        <v>36</v>
      </c>
      <c r="B41" s="20"/>
      <c r="C41" s="21"/>
      <c r="D41" s="21"/>
      <c r="E41" s="16">
        <f>'Data '!H4/309.7-1</f>
        <v>1.84422344204068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L3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6797" style="25" customWidth="1"/>
    <col min="2" max="12" width="9.875" style="25" customWidth="1"/>
    <col min="13" max="16384" width="16.3516" style="25" customWidth="1"/>
  </cols>
  <sheetData>
    <row r="1" ht="27.65" customHeight="1">
      <c r="A1" t="s" s="2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25" customHeight="1">
      <c r="A2" t="s" s="26">
        <v>1</v>
      </c>
      <c r="B2" s="27">
        <v>2017</v>
      </c>
      <c r="C2" s="27">
        <v>2018</v>
      </c>
      <c r="D2" s="27">
        <v>2019</v>
      </c>
      <c r="E2" s="27">
        <v>2020</v>
      </c>
      <c r="F2" s="27">
        <v>2021</v>
      </c>
      <c r="G2" s="28"/>
      <c r="H2" s="4"/>
      <c r="I2" s="28"/>
      <c r="J2" s="27">
        <v>2022</v>
      </c>
      <c r="K2" s="28"/>
      <c r="L2" s="28"/>
    </row>
    <row r="3" ht="20.25" customHeight="1">
      <c r="A3" t="s" s="5">
        <v>4</v>
      </c>
      <c r="B3" s="29"/>
      <c r="C3" s="30">
        <f>(C4/B4-1)/4</f>
        <v>0.169046270380737</v>
      </c>
      <c r="D3" s="30">
        <f>(D4/C4-1)/4</f>
        <v>0.705352942345793</v>
      </c>
      <c r="E3" s="30">
        <f>(E4/D4-1)/4</f>
        <v>0.248208823753806</v>
      </c>
      <c r="F3" s="30">
        <f>(F4/283.68-1)/4</f>
        <v>0.276500810772702</v>
      </c>
      <c r="G3" s="30">
        <f>G5/F5-1</f>
        <v>0.192628102659554</v>
      </c>
      <c r="H3" s="30">
        <f>H5/G5-1</f>
        <v>0.236266566364403</v>
      </c>
      <c r="I3" s="30"/>
      <c r="J3" s="7"/>
      <c r="K3" s="30"/>
      <c r="L3" s="30"/>
    </row>
    <row r="4" ht="20.05" customHeight="1">
      <c r="A4" t="s" s="19">
        <v>5</v>
      </c>
      <c r="B4" s="13">
        <v>90.036</v>
      </c>
      <c r="C4" s="14">
        <v>150.917</v>
      </c>
      <c r="D4" s="14">
        <v>576.716</v>
      </c>
      <c r="E4" s="14">
        <v>1149.3</v>
      </c>
      <c r="F4" s="14">
        <v>597.431</v>
      </c>
      <c r="G4" s="14">
        <f>1309.944-F4</f>
        <v>712.513</v>
      </c>
      <c r="H4" s="14">
        <f>2190.8-G4-F4</f>
        <v>880.856</v>
      </c>
      <c r="I4" s="21"/>
      <c r="J4" s="21"/>
      <c r="K4" s="21"/>
      <c r="L4" s="14"/>
    </row>
    <row r="5" ht="20.05" customHeight="1">
      <c r="A5" t="s" s="19">
        <v>5</v>
      </c>
      <c r="B5" s="13">
        <f>B4/4</f>
        <v>22.509</v>
      </c>
      <c r="C5" s="14">
        <f>C4/4</f>
        <v>37.72925</v>
      </c>
      <c r="D5" s="14">
        <f>D4/4</f>
        <v>144.179</v>
      </c>
      <c r="E5" s="14">
        <f>E4/4</f>
        <v>287.325</v>
      </c>
      <c r="F5" s="14">
        <f>F4</f>
        <v>597.431</v>
      </c>
      <c r="G5" s="14">
        <f>G4</f>
        <v>712.513</v>
      </c>
      <c r="H5" s="14">
        <f>H4</f>
        <v>880.856</v>
      </c>
      <c r="I5" s="14"/>
      <c r="J5" s="14"/>
      <c r="K5" s="14"/>
      <c r="L5" s="14"/>
    </row>
    <row r="6" ht="20.05" customHeight="1">
      <c r="A6" t="s" s="19">
        <v>30</v>
      </c>
      <c r="B6" s="13"/>
      <c r="C6" s="14"/>
      <c r="D6" s="14"/>
      <c r="E6" s="14"/>
      <c r="F6" s="14"/>
      <c r="G6" s="21"/>
      <c r="H6" s="21"/>
      <c r="I6" s="14">
        <f>'Model'!B5</f>
        <v>995.3672800000001</v>
      </c>
      <c r="J6" s="14">
        <f>'Model'!C5</f>
        <v>965.5062616</v>
      </c>
      <c r="K6" s="14">
        <f>'Model'!D5</f>
        <v>1062.05688776</v>
      </c>
      <c r="L6" s="14">
        <f>'Model'!E5</f>
        <v>1168.262576536</v>
      </c>
    </row>
    <row r="7" ht="20.05" customHeight="1">
      <c r="A7" t="s" s="19">
        <v>38</v>
      </c>
      <c r="B7" s="13">
        <v>98.34999999999999</v>
      </c>
      <c r="C7" s="14">
        <v>143.6</v>
      </c>
      <c r="D7" s="14">
        <v>556.764</v>
      </c>
      <c r="E7" s="14">
        <v>1124.5</v>
      </c>
      <c r="F7" s="14">
        <v>566.556</v>
      </c>
      <c r="G7" s="14">
        <f>1232.7-F7</f>
        <v>666.144</v>
      </c>
      <c r="H7" s="14">
        <f>2081.6-G7-F7</f>
        <v>848.9</v>
      </c>
      <c r="I7" s="14"/>
      <c r="J7" s="14"/>
      <c r="K7" s="14"/>
      <c r="L7" s="14"/>
    </row>
    <row r="8" ht="20.05" customHeight="1">
      <c r="A8" t="s" s="19">
        <v>10</v>
      </c>
      <c r="B8" s="13">
        <v>0.335</v>
      </c>
      <c r="C8" s="14">
        <v>-20.578</v>
      </c>
      <c r="D8" s="14">
        <v>42.945</v>
      </c>
      <c r="E8" s="14">
        <v>42.456</v>
      </c>
      <c r="F8" s="14">
        <v>15.841</v>
      </c>
      <c r="G8" s="14">
        <f>66.966-F8</f>
        <v>51.125</v>
      </c>
      <c r="H8" s="14">
        <f>98.75-G8-F8</f>
        <v>31.784</v>
      </c>
      <c r="I8" s="14"/>
      <c r="J8" s="14"/>
      <c r="K8" s="14"/>
      <c r="L8" s="14"/>
    </row>
    <row r="9" ht="20.05" customHeight="1">
      <c r="A9" t="s" s="19">
        <v>11</v>
      </c>
      <c r="B9" s="13">
        <v>-81.2</v>
      </c>
      <c r="C9" s="14">
        <v>-229.633</v>
      </c>
      <c r="D9" s="14">
        <v>-396.605</v>
      </c>
      <c r="E9" s="14">
        <v>-377.744</v>
      </c>
      <c r="F9" s="14">
        <v>-214.966</v>
      </c>
      <c r="G9" s="14">
        <f>-344-F9</f>
        <v>-129.034</v>
      </c>
      <c r="H9" s="14">
        <f>-530.273-G9-F9</f>
        <v>-186.273</v>
      </c>
      <c r="I9" s="14"/>
      <c r="J9" s="14"/>
      <c r="K9" s="14"/>
      <c r="L9" s="14"/>
    </row>
    <row r="10" ht="20.05" customHeight="1">
      <c r="A10" t="s" s="19">
        <v>39</v>
      </c>
      <c r="B10" s="13"/>
      <c r="C10" s="14">
        <v>-0.179</v>
      </c>
      <c r="D10" s="14">
        <v>-0.524</v>
      </c>
      <c r="E10" s="14">
        <v>-29.124</v>
      </c>
      <c r="F10" s="14">
        <v>-2.526</v>
      </c>
      <c r="G10" s="14">
        <f>-8.5-F10</f>
        <v>-5.974</v>
      </c>
      <c r="H10" s="14">
        <f>-12-G10</f>
        <v>-6.026</v>
      </c>
      <c r="I10" s="14"/>
      <c r="J10" s="14"/>
      <c r="K10" s="14"/>
      <c r="L10" s="14"/>
    </row>
    <row r="11" ht="20.05" customHeight="1">
      <c r="A11" t="s" s="19">
        <v>40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ht="20.05" customHeight="1">
      <c r="A12" t="s" s="19">
        <v>12</v>
      </c>
      <c r="B12" s="13">
        <f>90.3-B13</f>
        <v>42</v>
      </c>
      <c r="C12" s="14">
        <f>242.639-C13-C10</f>
        <v>192.818</v>
      </c>
      <c r="D12" s="14">
        <f>354.646-D10-D13</f>
        <v>205.17</v>
      </c>
      <c r="E12" s="14">
        <f>351.174-E10-E13</f>
        <v>375.22</v>
      </c>
      <c r="F12" s="14">
        <f>271.415-F10-F13</f>
        <v>-67.318</v>
      </c>
      <c r="G12" s="14">
        <f>289.117-G10-G13-F13-F12-F10</f>
        <v>22.386</v>
      </c>
      <c r="H12" s="14">
        <f>466.821-H10-H13-G13-G12-G10-F13-F12-F10</f>
        <v>185.279</v>
      </c>
      <c r="I12" s="14"/>
      <c r="J12" s="14"/>
      <c r="K12" s="14"/>
      <c r="L12" s="14"/>
    </row>
    <row r="13" ht="20.05" customHeight="1">
      <c r="A13" t="s" s="19">
        <v>13</v>
      </c>
      <c r="B13" s="13">
        <f>44.3+4</f>
        <v>48.3</v>
      </c>
      <c r="C13" s="14">
        <v>50</v>
      </c>
      <c r="D13" s="14">
        <v>150</v>
      </c>
      <c r="E13" s="14">
        <f>6.578-1.5</f>
        <v>5.078</v>
      </c>
      <c r="F13" s="14">
        <f>341.259</f>
        <v>341.259</v>
      </c>
      <c r="G13" s="14">
        <f>349.41-6.861-F13</f>
        <v>1.29</v>
      </c>
      <c r="H13" s="14">
        <f>347.9-6.9-G13-F13</f>
        <v>-1.549</v>
      </c>
      <c r="I13" s="14"/>
      <c r="J13" s="14"/>
      <c r="K13" s="14"/>
      <c r="L13" s="14"/>
    </row>
    <row r="14" ht="20.05" customHeight="1">
      <c r="A14" t="s" s="19">
        <v>16</v>
      </c>
      <c r="B14" s="13">
        <v>0.318</v>
      </c>
      <c r="C14" s="14">
        <f>B16</f>
        <v>9.753</v>
      </c>
      <c r="D14" s="14">
        <f>C16</f>
        <v>2.181</v>
      </c>
      <c r="E14" s="14">
        <f>D16</f>
        <v>3.167</v>
      </c>
      <c r="F14" s="14">
        <f>E16</f>
        <v>19.053</v>
      </c>
      <c r="G14" s="14">
        <f>F16</f>
        <v>91.343</v>
      </c>
      <c r="H14" s="14">
        <f>G16</f>
        <v>31.136</v>
      </c>
      <c r="I14" s="14"/>
      <c r="J14" s="14"/>
      <c r="K14" s="14"/>
      <c r="L14" s="14"/>
    </row>
    <row r="15" ht="20.05" customHeight="1">
      <c r="A15" t="s" s="19">
        <v>17</v>
      </c>
      <c r="B15" s="13">
        <f>B8+B9+B10+B11+B12+B13</f>
        <v>9.435</v>
      </c>
      <c r="C15" s="14">
        <f>C8+C9+C10+C11+C12+C13</f>
        <v>-7.572</v>
      </c>
      <c r="D15" s="14">
        <f>D8+D9+D10+D11+D12+D13</f>
        <v>0.986</v>
      </c>
      <c r="E15" s="14">
        <f>E8+E9+E10+E11+E12+E13</f>
        <v>15.886</v>
      </c>
      <c r="F15" s="14">
        <f>F8+F9+F10+F11+F12+F13</f>
        <v>72.29000000000001</v>
      </c>
      <c r="G15" s="14">
        <f>G8+G9+G10+G11+G12+G13</f>
        <v>-60.207</v>
      </c>
      <c r="H15" s="14">
        <f>H8+H9+H10+H11+H12+H13</f>
        <v>23.215</v>
      </c>
      <c r="I15" s="21"/>
      <c r="J15" s="21"/>
      <c r="K15" s="21"/>
      <c r="L15" s="21"/>
    </row>
    <row r="16" ht="20.05" customHeight="1">
      <c r="A16" t="s" s="19">
        <v>18</v>
      </c>
      <c r="B16" s="13">
        <f>B14+B15</f>
        <v>9.753</v>
      </c>
      <c r="C16" s="14">
        <f>C14+C15</f>
        <v>2.181</v>
      </c>
      <c r="D16" s="14">
        <f>D14+D15</f>
        <v>3.167</v>
      </c>
      <c r="E16" s="14">
        <f>E14+E15</f>
        <v>19.053</v>
      </c>
      <c r="F16" s="14">
        <f>F14+F15</f>
        <v>91.343</v>
      </c>
      <c r="G16" s="14">
        <f>G14+G15</f>
        <v>31.136</v>
      </c>
      <c r="H16" s="14">
        <f>H14+H15</f>
        <v>54.351</v>
      </c>
      <c r="I16" s="21"/>
      <c r="J16" s="21"/>
      <c r="K16" s="21"/>
      <c r="L16" s="21"/>
    </row>
    <row r="17" ht="20.05" customHeight="1">
      <c r="A17" s="31"/>
      <c r="B17" s="13"/>
      <c r="C17" s="14"/>
      <c r="D17" s="14"/>
      <c r="E17" s="14"/>
      <c r="F17" s="14"/>
      <c r="G17" s="14"/>
      <c r="H17" s="21"/>
      <c r="I17" s="21"/>
      <c r="J17" s="21"/>
      <c r="K17" s="21"/>
      <c r="L17" s="21"/>
    </row>
    <row r="18" ht="20.05" customHeight="1">
      <c r="A18" t="s" s="19">
        <v>8</v>
      </c>
      <c r="B18" s="32">
        <v>0.157</v>
      </c>
      <c r="C18" s="17">
        <v>3.483</v>
      </c>
      <c r="D18" s="17">
        <v>9.532</v>
      </c>
      <c r="E18" s="17">
        <f>22.4-19.7</f>
        <v>2.7</v>
      </c>
      <c r="F18" s="17">
        <v>9.75</v>
      </c>
      <c r="G18" s="17">
        <v>9.75</v>
      </c>
      <c r="H18" s="14">
        <f>38-11-G18-F18</f>
        <v>7.5</v>
      </c>
      <c r="I18" s="14"/>
      <c r="J18" s="14"/>
      <c r="K18" s="14"/>
      <c r="L18" s="14"/>
    </row>
    <row r="19" ht="20.05" customHeight="1">
      <c r="A19" t="s" s="19">
        <v>9</v>
      </c>
      <c r="B19" s="13">
        <v>3.681</v>
      </c>
      <c r="C19" s="14">
        <v>5.865</v>
      </c>
      <c r="D19" s="14">
        <v>36.607</v>
      </c>
      <c r="E19" s="14">
        <v>73.45</v>
      </c>
      <c r="F19" s="14">
        <v>39.842</v>
      </c>
      <c r="G19" s="14">
        <f>88.5-F19</f>
        <v>48.658</v>
      </c>
      <c r="H19" s="14">
        <f>144.4-G19-F19</f>
        <v>55.9</v>
      </c>
      <c r="I19" s="14"/>
      <c r="J19" s="14"/>
      <c r="K19" s="14"/>
      <c r="L19" s="14"/>
    </row>
    <row r="20" ht="20.05" customHeight="1">
      <c r="A20" t="s" s="19">
        <v>6</v>
      </c>
      <c r="B20" s="15">
        <f>(B18+B19-B4)/B4</f>
        <v>-0.95737260651295</v>
      </c>
      <c r="C20" s="16">
        <f>(C18+C19-C4)/C4</f>
        <v>-0.9380586680095681</v>
      </c>
      <c r="D20" s="16">
        <f>(D18+D19-D4)/D4</f>
        <v>-0.919997017596183</v>
      </c>
      <c r="E20" s="16">
        <f>(E18+E19-E4)/E4</f>
        <v>-0.933742277908292</v>
      </c>
      <c r="F20" s="16">
        <f>(F19+F18-F4)/F4</f>
        <v>-0.916991250872486</v>
      </c>
      <c r="G20" s="16">
        <f>(G19+G18-G4)/G4</f>
        <v>-0.91802535532685</v>
      </c>
      <c r="H20" s="16">
        <f>(H19+H18-H4)/H4</f>
        <v>-0.928024557930014</v>
      </c>
      <c r="I20" s="16">
        <f>'Model'!B6</f>
        <v>-0.928024557930014</v>
      </c>
      <c r="J20" s="16"/>
      <c r="K20" s="16"/>
      <c r="L20" s="16"/>
    </row>
    <row r="21" ht="20.05" customHeight="1">
      <c r="A21" s="3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ht="20.05" customHeight="1">
      <c r="A22" t="s" s="19">
        <v>41</v>
      </c>
      <c r="B22" s="13">
        <v>127.742</v>
      </c>
      <c r="C22" s="14">
        <v>419.945</v>
      </c>
      <c r="D22" s="14">
        <v>864.183</v>
      </c>
      <c r="E22" s="14">
        <v>1416.5</v>
      </c>
      <c r="F22" s="14">
        <v>1750.7</v>
      </c>
      <c r="G22" s="14">
        <v>1847.2</v>
      </c>
      <c r="H22" s="14">
        <v>2109.534</v>
      </c>
      <c r="I22" s="14"/>
      <c r="J22" s="14"/>
      <c r="K22" s="14"/>
      <c r="L22" s="14"/>
    </row>
    <row r="23" ht="20.05" customHeight="1">
      <c r="A23" t="s" s="19">
        <v>21</v>
      </c>
      <c r="B23" s="32">
        <v>0.157</v>
      </c>
      <c r="C23" s="17">
        <v>3.62</v>
      </c>
      <c r="D23" s="17">
        <v>12.65</v>
      </c>
      <c r="E23" s="17">
        <v>33.2</v>
      </c>
      <c r="F23" s="17"/>
      <c r="G23" s="17">
        <v>49.788</v>
      </c>
      <c r="H23" s="17">
        <v>66.40000000000001</v>
      </c>
      <c r="I23" s="17"/>
      <c r="J23" s="17"/>
      <c r="K23" s="17"/>
      <c r="L23" s="17"/>
    </row>
    <row r="24" ht="20.05" customHeight="1">
      <c r="A24" t="s" s="19">
        <v>20</v>
      </c>
      <c r="B24" s="13">
        <f>B22-B16</f>
        <v>117.989</v>
      </c>
      <c r="C24" s="14">
        <f>C22-C16</f>
        <v>417.764</v>
      </c>
      <c r="D24" s="14">
        <f>D22-D16</f>
        <v>861.016</v>
      </c>
      <c r="E24" s="14">
        <f>E22-E16</f>
        <v>1397.447</v>
      </c>
      <c r="F24" s="14">
        <f>F22-F16</f>
        <v>1659.357</v>
      </c>
      <c r="G24" s="14">
        <f>G22-G16</f>
        <v>1816.064</v>
      </c>
      <c r="H24" s="14">
        <f>H22-H16</f>
        <v>2055.183</v>
      </c>
      <c r="I24" s="21"/>
      <c r="J24" s="21"/>
      <c r="K24" s="21"/>
      <c r="L24" s="21"/>
    </row>
    <row r="25" ht="20.05" customHeight="1">
      <c r="A25" t="s" s="19">
        <v>12</v>
      </c>
      <c r="B25" s="13">
        <v>70.036</v>
      </c>
      <c r="C25" s="14">
        <v>306.353</v>
      </c>
      <c r="D25" s="14">
        <v>563.681</v>
      </c>
      <c r="E25" s="14">
        <v>739.553</v>
      </c>
      <c r="F25" s="14">
        <v>692.85</v>
      </c>
      <c r="G25" s="17">
        <v>740.17</v>
      </c>
      <c r="H25" s="17">
        <v>946.472</v>
      </c>
      <c r="I25" s="21"/>
      <c r="J25" s="21"/>
      <c r="K25" s="21"/>
      <c r="L25" s="21"/>
    </row>
    <row r="26" ht="20.05" customHeight="1">
      <c r="A26" t="s" s="19">
        <v>13</v>
      </c>
      <c r="B26" s="13">
        <v>57.705</v>
      </c>
      <c r="C26" s="14">
        <v>113.59</v>
      </c>
      <c r="D26" s="14">
        <v>300.502</v>
      </c>
      <c r="E26" s="14">
        <v>676.9400000000001</v>
      </c>
      <c r="F26" s="14">
        <v>1057.8</v>
      </c>
      <c r="G26" s="17">
        <v>1106.985</v>
      </c>
      <c r="H26" s="17">
        <v>1163.1</v>
      </c>
      <c r="I26" s="21"/>
      <c r="J26" s="21"/>
      <c r="K26" s="21"/>
      <c r="L26" s="21"/>
    </row>
    <row r="27" ht="20.05" customHeight="1">
      <c r="A27" t="s" s="19">
        <v>22</v>
      </c>
      <c r="B27" s="13">
        <f>B25+B26-B16-B24</f>
        <v>-0.001</v>
      </c>
      <c r="C27" s="14">
        <f>C25+C26-C16-C24</f>
        <v>-0.002</v>
      </c>
      <c r="D27" s="14">
        <f>D25+D26-D16-D24</f>
        <v>0</v>
      </c>
      <c r="E27" s="14">
        <f>E25+E26-E16-E24</f>
        <v>-0.007</v>
      </c>
      <c r="F27" s="14">
        <f>F25+F26-F16-F24</f>
        <v>-0.05</v>
      </c>
      <c r="G27" s="14">
        <f>G25+G26-G16-G24</f>
        <v>-0.045</v>
      </c>
      <c r="H27" s="14">
        <f>H25+H26-H16-H24</f>
        <v>0.038</v>
      </c>
      <c r="I27" s="21"/>
      <c r="J27" s="21"/>
      <c r="K27" s="21"/>
      <c r="L27" s="21"/>
    </row>
    <row r="28" ht="20.05" customHeight="1">
      <c r="A28" t="s" s="19">
        <v>23</v>
      </c>
      <c r="B28" s="13">
        <f>B16-B25</f>
        <v>-60.283</v>
      </c>
      <c r="C28" s="14">
        <f>C16-C25</f>
        <v>-304.172</v>
      </c>
      <c r="D28" s="14">
        <f>D16-D25</f>
        <v>-560.514</v>
      </c>
      <c r="E28" s="14">
        <f>E16-E25</f>
        <v>-720.5</v>
      </c>
      <c r="F28" s="14">
        <f>F16-F25</f>
        <v>-601.5069999999999</v>
      </c>
      <c r="G28" s="14">
        <f>G16-G25</f>
        <v>-709.034</v>
      </c>
      <c r="H28" s="14">
        <f>H16-H25</f>
        <v>-892.121</v>
      </c>
      <c r="I28" s="21"/>
      <c r="J28" s="21"/>
      <c r="K28" s="21"/>
      <c r="L28" s="21"/>
    </row>
    <row r="29" ht="20.05" customHeight="1">
      <c r="A29" t="s" s="19">
        <v>30</v>
      </c>
      <c r="B29" s="15"/>
      <c r="C29" s="16"/>
      <c r="D29" s="16"/>
      <c r="E29" s="16"/>
      <c r="F29" s="21"/>
      <c r="G29" s="21"/>
      <c r="H29" s="14">
        <f>H28</f>
        <v>-892.121</v>
      </c>
      <c r="I29" s="17">
        <f>'Model'!E26</f>
        <v>-1106.5940306</v>
      </c>
      <c r="J29" s="21"/>
      <c r="K29" s="21"/>
      <c r="L29" s="21"/>
    </row>
    <row r="30" ht="20.05" customHeight="1">
      <c r="A30" t="s" s="19">
        <v>42</v>
      </c>
      <c r="B30" s="15">
        <f>(B8-B7)/B7</f>
        <v>-0.996593797661413</v>
      </c>
      <c r="C30" s="16">
        <f>(C8-C7)/C7</f>
        <v>-1.1433008356546</v>
      </c>
      <c r="D30" s="16">
        <f>(D8-D7)/D7</f>
        <v>-0.922866780179753</v>
      </c>
      <c r="E30" s="16">
        <f>(E8-E7)/E7</f>
        <v>-0.962244553134727</v>
      </c>
      <c r="F30" s="16">
        <f>(F8-F7)/F7</f>
        <v>-0.972039833661633</v>
      </c>
      <c r="G30" s="16">
        <f>(G8-G7)/G7</f>
        <v>-0.923252329826584</v>
      </c>
      <c r="H30" s="16">
        <f>(H8-H7)/H7</f>
        <v>-0.9625586052538579</v>
      </c>
      <c r="I30" s="21"/>
      <c r="J30" s="21"/>
      <c r="K30" s="21"/>
      <c r="L30" s="21"/>
    </row>
    <row r="31" ht="20.05" customHeight="1">
      <c r="A31" t="s" s="19">
        <v>3</v>
      </c>
      <c r="B31" s="13">
        <f>SUM(B8:B11)/4</f>
        <v>-20.21625</v>
      </c>
      <c r="C31" s="14">
        <f>SUM(C8:C11)/4</f>
        <v>-62.5975</v>
      </c>
      <c r="D31" s="14">
        <f>SUM(D8:D11)/4</f>
        <v>-88.54600000000001</v>
      </c>
      <c r="E31" s="14">
        <f>SUM(E8:E11)/4</f>
        <v>-91.10299999999999</v>
      </c>
      <c r="F31" s="14">
        <f>SUM(F8:F11)/2</f>
        <v>-100.8255</v>
      </c>
      <c r="G31" s="14">
        <f>SUM(G8:G11)</f>
        <v>-83.883</v>
      </c>
      <c r="H31" s="14">
        <f>SUM(H8:H11)</f>
        <v>-160.515</v>
      </c>
      <c r="I31" s="14">
        <f>SUM('Model'!E10:E11)</f>
        <v>-44.9477846</v>
      </c>
      <c r="J31" s="14"/>
      <c r="K31" s="14"/>
      <c r="L31" s="14"/>
    </row>
    <row r="32" ht="20.05" customHeight="1">
      <c r="A32" t="s" s="19">
        <v>25</v>
      </c>
      <c r="B32" s="13">
        <f>-(B12+B13)</f>
        <v>-90.3</v>
      </c>
      <c r="C32" s="14">
        <f>-(C12+C13)+B32</f>
        <v>-333.118</v>
      </c>
      <c r="D32" s="14">
        <f>-(D12+D13)+C32</f>
        <v>-688.288</v>
      </c>
      <c r="E32" s="14">
        <f>-(E12+E13)+D32</f>
        <v>-1068.586</v>
      </c>
      <c r="F32" s="14">
        <f>-(F12+F13)+E32</f>
        <v>-1342.527</v>
      </c>
      <c r="G32" s="14">
        <f>-(G12+G13)+F32</f>
        <v>-1366.203</v>
      </c>
      <c r="H32" s="14">
        <f>-(H12+H13)+G32</f>
        <v>-1549.933</v>
      </c>
      <c r="I32" s="14">
        <f>'Model'!E28</f>
        <v>-1659.6904306</v>
      </c>
      <c r="J32" s="14"/>
      <c r="K32" s="14"/>
      <c r="L32" s="14"/>
    </row>
    <row r="33" ht="20.05" customHeight="1">
      <c r="A33" t="s" s="19">
        <v>43</v>
      </c>
      <c r="B33" s="13"/>
      <c r="C33" s="14"/>
      <c r="D33" s="14"/>
      <c r="E33" s="24">
        <v>302</v>
      </c>
      <c r="F33" s="14">
        <v>204</v>
      </c>
      <c r="G33" s="14">
        <v>157</v>
      </c>
      <c r="H33" s="14">
        <v>166</v>
      </c>
      <c r="I33" s="14">
        <v>155</v>
      </c>
      <c r="J33" s="14"/>
      <c r="K33" s="14"/>
      <c r="L33" s="14"/>
    </row>
    <row r="34" ht="20.05" customHeight="1">
      <c r="A34" t="s" s="19">
        <v>34</v>
      </c>
      <c r="B34" s="13"/>
      <c r="C34" s="14"/>
      <c r="D34" s="14"/>
      <c r="E34" s="14"/>
      <c r="F34" s="14"/>
      <c r="G34" s="14"/>
      <c r="H34" s="14"/>
      <c r="I34" s="14">
        <f>I33</f>
        <v>155</v>
      </c>
      <c r="J34" s="14">
        <f>'Model'!E39</f>
        <v>126.194969926050</v>
      </c>
      <c r="K34" s="14"/>
      <c r="L34" s="14"/>
    </row>
  </sheetData>
  <mergeCells count="1">
    <mergeCell ref="A1:L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