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<sst xmlns="http://schemas.openxmlformats.org/spreadsheetml/2006/main" uniqueCount="61">
  <si>
    <t>Financial model</t>
  </si>
  <si>
    <t xml:space="preserve">Rpbn </t>
  </si>
  <si>
    <t>4Q 2021</t>
  </si>
  <si>
    <t xml:space="preserve">Cashflow </t>
  </si>
  <si>
    <t xml:space="preserve">Growth </t>
  </si>
  <si>
    <t>Sales</t>
  </si>
  <si>
    <t xml:space="preserve">Cost ratio </t>
  </si>
  <si>
    <t>Cash costs</t>
  </si>
  <si>
    <t>Operating</t>
  </si>
  <si>
    <t>Investment</t>
  </si>
  <si>
    <t>Finance</t>
  </si>
  <si>
    <t xml:space="preserve">Liabilities </t>
  </si>
  <si>
    <t xml:space="preserve">Equity </t>
  </si>
  <si>
    <t xml:space="preserve">Revolver  </t>
  </si>
  <si>
    <t xml:space="preserve">Before 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</si>
  <si>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</si>
  <si>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</si>
  <si>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</si>
  <si>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</si>
  <si>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</si>
  <si>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</si>
  <si>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</si>
  <si>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</si>
  <si>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</si>
  <si>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</si>
  <si>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Revolver </t>
  </si>
  <si>
    <t xml:space="preserve">Check </t>
  </si>
  <si>
    <t xml:space="preserve">Net cash </t>
  </si>
  <si>
    <t xml:space="preserve">Valuation </t>
  </si>
  <si>
    <t>Capital</t>
  </si>
  <si>
    <t>Current value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</si>
  <si>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</si>
  <si>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</si>
  <si>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</si>
  <si>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</si>
  <si>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</si>
  <si>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</si>
  <si>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</si>
  <si>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</si>
  <si>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</si>
  <si>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</si>
  <si>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</si>
  <si>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Rpbn</t>
  </si>
  <si>
    <t>Net sales</t>
  </si>
  <si>
    <t>Forex loss (gain)</t>
  </si>
  <si>
    <t>Impairment</t>
  </si>
  <si>
    <t xml:space="preserve">Sales growth </t>
  </si>
  <si>
    <t xml:space="preserve">Cashflow costs </t>
  </si>
  <si>
    <t>Cashflow</t>
  </si>
  <si>
    <t xml:space="preserve">Receipts </t>
  </si>
  <si>
    <t xml:space="preserve">Investment </t>
  </si>
  <si>
    <t xml:space="preserve">Finance </t>
  </si>
  <si>
    <t>Free cash flow</t>
  </si>
  <si>
    <t>Quarterly assets</t>
  </si>
  <si>
    <t>Cash</t>
  </si>
  <si>
    <t>Assets</t>
  </si>
  <si>
    <t>Other assets</t>
  </si>
  <si>
    <t>Net cash</t>
  </si>
  <si>
    <t>Share price monthly</t>
  </si>
  <si>
    <t>UNSP</t>
  </si>
  <si>
    <t>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</si>
</sst>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%_);[Red]\(0%\)"/>
    <numFmt numFmtId="60" formatCode="0_);[Red]\(0\)"/>
    <numFmt numFmtId="61" formatCode="#,##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6"/>
      <name val="Arial"/>
    </font>
    <font>
      <sz val="10"/>
      <color indexed="16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4" borderId="2" applyNumberFormat="1" applyFont="1" applyFill="1" applyBorder="1" applyAlignment="1" applyProtection="0">
      <alignment vertical="top" wrapText="1"/>
    </xf>
    <xf numFmtId="59" fontId="0" fillId="5" borderId="3" applyNumberFormat="1" applyFont="1" applyFill="1" applyBorder="1" applyAlignment="1" applyProtection="0">
      <alignment vertical="top" wrapText="1"/>
    </xf>
    <xf numFmtId="60" fontId="0" fillId="5" borderId="4" applyNumberFormat="1" applyFont="1" applyFill="1" applyBorder="1" applyAlignment="1" applyProtection="0">
      <alignment vertical="top" wrapText="1"/>
    </xf>
    <xf numFmtId="59" fontId="0" fillId="5" borderId="4" applyNumberFormat="1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3" fontId="0" fillId="5" borderId="6" applyNumberFormat="1" applyFont="1" applyFill="1" applyBorder="1" applyAlignment="1" applyProtection="0">
      <alignment vertical="top" wrapText="1"/>
    </xf>
    <xf numFmtId="3" fontId="0" fillId="5" borderId="7" applyNumberFormat="1" applyFont="1" applyFill="1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3" borderId="1" applyNumberFormat="1" applyFont="1" applyFill="1" applyBorder="1" applyAlignment="1" applyProtection="0">
      <alignment horizontal="right" vertical="top" wrapText="1"/>
    </xf>
    <xf numFmtId="0" fontId="2" fillId="6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horizontal="right" vertical="top" wrapText="1"/>
    </xf>
    <xf numFmtId="0" fontId="2" fillId="6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horizontal="right" vertical="top" wrapText="1"/>
    </xf>
    <xf numFmtId="0" fontId="2" fillId="6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2" fillId="6" borderId="8" applyNumberFormat="1" applyFont="1" applyFill="1" applyBorder="1" applyAlignment="1" applyProtection="0">
      <alignment vertical="top" wrapText="1"/>
    </xf>
    <xf numFmtId="38" fontId="0" borderId="9" applyNumberFormat="1" applyFont="1" applyFill="0" applyBorder="1" applyAlignment="1" applyProtection="0">
      <alignment vertical="top" wrapText="1"/>
    </xf>
    <xf numFmtId="38" fontId="0" borderId="10" applyNumberFormat="1" applyFont="1" applyFill="0" applyBorder="1" applyAlignment="1" applyProtection="0">
      <alignment vertical="top" wrapText="1"/>
    </xf>
    <xf numFmtId="0" fontId="2" fillId="6" borderId="8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4" borderId="4" applyNumberFormat="1" applyFont="1" applyFill="0" applyBorder="1" applyAlignment="1" applyProtection="0">
      <alignment horizontal="right" vertical="top" wrapText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1" fontId="4" borderId="7" applyNumberFormat="1" applyFont="1" applyFill="0" applyBorder="1" applyAlignment="1" applyProtection="0">
      <alignment horizontal="right"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2c2c2"/>
      <rgbColor rgb="ffa5a5a5"/>
      <rgbColor rgb="ff3f3f3f"/>
      <rgbColor rgb="ffbdc0bf"/>
      <rgbColor rgb="ffd6d6d6"/>
      <rgbColor rgb="ffffffff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373079</xdr:colOff>
      <xdr:row>1</xdr:row>
      <xdr:rowOff>191243</xdr:rowOff>
    </xdr:from>
    <xdr:to>
      <xdr:col>13</xdr:col>
      <xdr:colOff>564950</xdr:colOff>
      <xdr:row>45</xdr:row>
      <xdr:rowOff>243218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78379" y="508743"/>
          <a:ext cx="8904072" cy="113575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8906" style="1" customWidth="1"/>
    <col min="2" max="2" width="15.1172" style="1" customWidth="1"/>
    <col min="3" max="6" width="7.99219" style="1" customWidth="1"/>
    <col min="7" max="16384" width="16.3516" style="1" customWidth="1"/>
  </cols>
  <sheetData>
    <row r="1" ht="2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3">
        <v>2</v>
      </c>
      <c r="D3" s="4"/>
      <c r="E3" s="5"/>
      <c r="F3" s="6"/>
    </row>
    <row r="4" ht="20.25" customHeight="1">
      <c r="B4" t="s" s="7">
        <v>3</v>
      </c>
      <c r="C4" s="8">
        <f>AVERAGE('Sales'!I27:I30)</f>
        <v>0.171278115281726</v>
      </c>
      <c r="D4" s="9"/>
      <c r="E4" s="9"/>
      <c r="F4" s="10">
        <f>AVERAGE(C5:F5)</f>
        <v>0.035</v>
      </c>
    </row>
    <row r="5" ht="20.05" customHeight="1">
      <c r="B5" t="s" s="11">
        <v>4</v>
      </c>
      <c r="C5" s="12">
        <v>0.07000000000000001</v>
      </c>
      <c r="D5" s="13">
        <v>-0.01</v>
      </c>
      <c r="E5" s="13">
        <v>0.03</v>
      </c>
      <c r="F5" s="13">
        <v>0.05</v>
      </c>
    </row>
    <row r="6" ht="20.05" customHeight="1">
      <c r="B6" t="s" s="11">
        <v>5</v>
      </c>
      <c r="C6" s="14">
        <f>'Sales'!C30*(1+C5)</f>
        <v>1181.494</v>
      </c>
      <c r="D6" s="15">
        <f>C6*(1+D5)</f>
        <v>1169.67906</v>
      </c>
      <c r="E6" s="15">
        <f>D6*(1+E5)</f>
        <v>1204.7694318</v>
      </c>
      <c r="F6" s="15">
        <f>E6*(1+F5)</f>
        <v>1265.00790339</v>
      </c>
    </row>
    <row r="7" ht="20.05" customHeight="1">
      <c r="B7" t="s" s="11">
        <v>6</v>
      </c>
      <c r="C7" s="16">
        <f>AVERAGE('Sales'!J29)</f>
        <v>-0.945306950786403</v>
      </c>
      <c r="D7" s="17">
        <f>C7</f>
        <v>-0.945306950786403</v>
      </c>
      <c r="E7" s="17">
        <f>D7</f>
        <v>-0.945306950786403</v>
      </c>
      <c r="F7" s="17">
        <f>E7</f>
        <v>-0.945306950786403</v>
      </c>
    </row>
    <row r="8" ht="20.05" customHeight="1">
      <c r="B8" t="s" s="11">
        <v>7</v>
      </c>
      <c r="C8" s="18">
        <f>C6*C7</f>
        <v>-1116.874490512430</v>
      </c>
      <c r="D8" s="19">
        <f>D6*D7</f>
        <v>-1105.705745607310</v>
      </c>
      <c r="E8" s="19">
        <f>E6*E7</f>
        <v>-1138.876917975530</v>
      </c>
      <c r="F8" s="19">
        <f>F6*F7</f>
        <v>-1195.8207638743</v>
      </c>
    </row>
    <row r="9" ht="20.05" customHeight="1">
      <c r="B9" t="s" s="11">
        <v>8</v>
      </c>
      <c r="C9" s="18">
        <f>C6+C8</f>
        <v>64.619509487570</v>
      </c>
      <c r="D9" s="19">
        <f>D6+D8</f>
        <v>63.973314392690</v>
      </c>
      <c r="E9" s="19">
        <f>E6+E8</f>
        <v>65.892513824470</v>
      </c>
      <c r="F9" s="19">
        <f>F6+F8</f>
        <v>69.1871395157</v>
      </c>
    </row>
    <row r="10" ht="20.05" customHeight="1">
      <c r="B10" t="s" s="11">
        <v>9</v>
      </c>
      <c r="C10" s="18">
        <f>AVERAGE('Cashflow '!E33:E34)</f>
        <v>-31.25</v>
      </c>
      <c r="D10" s="19">
        <f>C10</f>
        <v>-31.25</v>
      </c>
      <c r="E10" s="19">
        <f>D10</f>
        <v>-31.25</v>
      </c>
      <c r="F10" s="19">
        <f>E10</f>
        <v>-31.25</v>
      </c>
    </row>
    <row r="11" ht="20.05" customHeight="1">
      <c r="B11" t="s" s="11">
        <v>10</v>
      </c>
      <c r="C11" s="20">
        <f>C12+C14+C13</f>
        <v>-33.369509487570</v>
      </c>
      <c r="D11" s="21">
        <f>D12+D14+D13</f>
        <v>-32.723314392690</v>
      </c>
      <c r="E11" s="21">
        <f>E12+E14+E13</f>
        <v>-34.642513824470</v>
      </c>
      <c r="F11" s="21">
        <f>F12+F14+F13</f>
        <v>-37.9371395157</v>
      </c>
    </row>
    <row r="12" ht="20.05" customHeight="1">
      <c r="B12" t="s" s="11">
        <v>11</v>
      </c>
      <c r="C12" s="20">
        <f>-('Balance sheet'!G30)/20</f>
        <v>-754.98</v>
      </c>
      <c r="D12" s="21">
        <f>-C26/20</f>
        <v>-717.231</v>
      </c>
      <c r="E12" s="21">
        <f>-D26/20</f>
        <v>-681.36945</v>
      </c>
      <c r="F12" s="21">
        <f>-E26/20</f>
        <v>-647.3009775</v>
      </c>
    </row>
    <row r="13" ht="20.05" customHeight="1">
      <c r="B13" t="s" s="11">
        <v>12</v>
      </c>
      <c r="C13" s="20">
        <f>IF(C21&gt;0,-C21*0.3,0)</f>
        <v>0</v>
      </c>
      <c r="D13" s="21">
        <f>IF(D21&gt;0,-D21*0.3,0)</f>
        <v>0</v>
      </c>
      <c r="E13" s="21">
        <f>IF(E21&gt;0,-E21*0.3,0)</f>
        <v>0</v>
      </c>
      <c r="F13" s="21">
        <f>IF(F21&gt;0,-F21*0.3,0)</f>
        <v>-0.896141854710</v>
      </c>
    </row>
    <row r="14" ht="20.05" customHeight="1">
      <c r="B14" t="s" s="11">
        <v>13</v>
      </c>
      <c r="C14" s="20">
        <f>-MIN(0,C15)</f>
        <v>721.610490512430</v>
      </c>
      <c r="D14" s="21">
        <f>-MIN(C27,D15)</f>
        <v>684.507685607310</v>
      </c>
      <c r="E14" s="21">
        <f>-MIN(D27,E15)</f>
        <v>646.726936175530</v>
      </c>
      <c r="F14" s="21">
        <f>-MIN(E27,F15)</f>
        <v>610.259979839010</v>
      </c>
    </row>
    <row r="15" ht="20.05" customHeight="1">
      <c r="B15" t="s" s="11">
        <v>14</v>
      </c>
      <c r="C15" s="20">
        <f>C9+C10+C12+C13</f>
        <v>-721.610490512430</v>
      </c>
      <c r="D15" s="21">
        <f>D9+D10+D12+D13</f>
        <v>-684.507685607310</v>
      </c>
      <c r="E15" s="21">
        <f>E9+E10+E12+E13</f>
        <v>-646.726936175530</v>
      </c>
      <c r="F15" s="21">
        <f>F9+F10+F12+F13</f>
        <v>-610.259979839010</v>
      </c>
    </row>
    <row r="16" ht="20.05" customHeight="1">
      <c r="B16" t="s" s="11">
        <v>15</v>
      </c>
      <c r="C16" s="20">
        <f>'Balance sheet'!C30</f>
        <v>200.89</v>
      </c>
      <c r="D16" s="21">
        <f>C18</f>
        <v>200.89</v>
      </c>
      <c r="E16" s="21">
        <f>D18</f>
        <v>200.89</v>
      </c>
      <c r="F16" s="21">
        <f>E18</f>
        <v>200.89</v>
      </c>
    </row>
    <row r="17" ht="20.05" customHeight="1">
      <c r="B17" t="s" s="11">
        <v>16</v>
      </c>
      <c r="C17" s="20">
        <f>C9+C10+C11</f>
        <v>0</v>
      </c>
      <c r="D17" s="21">
        <f>D9+D10+D11</f>
        <v>0</v>
      </c>
      <c r="E17" s="21">
        <f>E9+E10+E11</f>
        <v>0</v>
      </c>
      <c r="F17" s="21">
        <f>F9+F10+F11</f>
        <v>0</v>
      </c>
    </row>
    <row r="18" ht="20.05" customHeight="1">
      <c r="B18" t="s" s="11">
        <v>17</v>
      </c>
      <c r="C18" s="20">
        <f>C16+C17</f>
        <v>200.89</v>
      </c>
      <c r="D18" s="21">
        <f>D16+D17</f>
        <v>200.89</v>
      </c>
      <c r="E18" s="21">
        <f>E16+E17</f>
        <v>200.89</v>
      </c>
      <c r="F18" s="21">
        <f>F16+F17</f>
        <v>200.89</v>
      </c>
    </row>
    <row r="19" ht="20.05" customHeight="1">
      <c r="B19" t="s" s="22">
        <v>18</v>
      </c>
      <c r="C19" s="20"/>
      <c r="D19" s="21"/>
      <c r="E19" s="19"/>
      <c r="F19" s="23"/>
    </row>
    <row r="20" ht="20.05" customHeight="1">
      <c r="B20" t="s" s="11">
        <v>19</v>
      </c>
      <c r="C20" s="20">
        <f>-AVERAGE('Sales'!G30)</f>
        <v>-66.2</v>
      </c>
      <c r="D20" s="21">
        <f>C20</f>
        <v>-66.2</v>
      </c>
      <c r="E20" s="21">
        <f>D20</f>
        <v>-66.2</v>
      </c>
      <c r="F20" s="21">
        <f>E20</f>
        <v>-66.2</v>
      </c>
    </row>
    <row r="21" ht="20.05" customHeight="1">
      <c r="B21" t="s" s="11">
        <v>20</v>
      </c>
      <c r="C21" s="20">
        <f>C6+C8+C20</f>
        <v>-1.580490512430</v>
      </c>
      <c r="D21" s="21">
        <f>D6+D8+D20</f>
        <v>-2.226685607310</v>
      </c>
      <c r="E21" s="21">
        <f>E6+E8+E20</f>
        <v>-0.307486175530</v>
      </c>
      <c r="F21" s="21">
        <f>F6+F8+F20</f>
        <v>2.9871395157</v>
      </c>
    </row>
    <row r="22" ht="20.05" customHeight="1">
      <c r="B22" t="s" s="22">
        <v>21</v>
      </c>
      <c r="C22" s="20"/>
      <c r="D22" s="19"/>
      <c r="E22" s="21"/>
      <c r="F22" s="21"/>
    </row>
    <row r="23" ht="20.05" customHeight="1">
      <c r="B23" t="s" s="11">
        <v>22</v>
      </c>
      <c r="C23" s="20">
        <f>'Balance sheet'!E30+'Balance sheet'!F30-C10</f>
        <v>11303.96</v>
      </c>
      <c r="D23" s="21">
        <f>C23-D10</f>
        <v>11335.21</v>
      </c>
      <c r="E23" s="21">
        <f>D23-E10</f>
        <v>11366.46</v>
      </c>
      <c r="F23" s="21">
        <f>E23-F10</f>
        <v>11397.71</v>
      </c>
    </row>
    <row r="24" ht="20.05" customHeight="1">
      <c r="B24" t="s" s="11">
        <v>23</v>
      </c>
      <c r="C24" s="20">
        <f>'Balance sheet'!F30-C20</f>
        <v>3532.2</v>
      </c>
      <c r="D24" s="21">
        <f>C24-D20</f>
        <v>3598.4</v>
      </c>
      <c r="E24" s="21">
        <f>D24-E20</f>
        <v>3664.6</v>
      </c>
      <c r="F24" s="21">
        <f>E24-F20</f>
        <v>3730.8</v>
      </c>
    </row>
    <row r="25" ht="20.05" customHeight="1">
      <c r="B25" t="s" s="11">
        <v>24</v>
      </c>
      <c r="C25" s="20">
        <f>C23-C24</f>
        <v>7771.76</v>
      </c>
      <c r="D25" s="21">
        <f>D23-D24</f>
        <v>7736.81</v>
      </c>
      <c r="E25" s="21">
        <f>E23-E24</f>
        <v>7701.86</v>
      </c>
      <c r="F25" s="21">
        <f>F23-F24</f>
        <v>7666.91</v>
      </c>
    </row>
    <row r="26" ht="20.05" customHeight="1">
      <c r="B26" t="s" s="11">
        <v>11</v>
      </c>
      <c r="C26" s="20">
        <f>'Balance sheet'!G30+C12</f>
        <v>14344.62</v>
      </c>
      <c r="D26" s="21">
        <f>C26+D12</f>
        <v>13627.389</v>
      </c>
      <c r="E26" s="21">
        <f>D26+E12</f>
        <v>12946.01955</v>
      </c>
      <c r="F26" s="21">
        <f>E26+F12</f>
        <v>12298.7185725</v>
      </c>
    </row>
    <row r="27" ht="20.05" customHeight="1">
      <c r="B27" t="s" s="11">
        <v>25</v>
      </c>
      <c r="C27" s="20">
        <f>C14</f>
        <v>721.610490512430</v>
      </c>
      <c r="D27" s="21">
        <f>C27+D14</f>
        <v>1406.118176119740</v>
      </c>
      <c r="E27" s="21">
        <f>D27+E14</f>
        <v>2052.845112295270</v>
      </c>
      <c r="F27" s="21">
        <f>E27+F14</f>
        <v>2663.105092134280</v>
      </c>
    </row>
    <row r="28" ht="20.05" customHeight="1">
      <c r="B28" t="s" s="11">
        <v>12</v>
      </c>
      <c r="C28" s="20">
        <f>'Balance sheet'!H30+C21+C13</f>
        <v>-7093.580490512430</v>
      </c>
      <c r="D28" s="21">
        <f>C28+D21+D13</f>
        <v>-7095.807176119740</v>
      </c>
      <c r="E28" s="21">
        <f>D28+E21+E13</f>
        <v>-7096.114662295270</v>
      </c>
      <c r="F28" s="21">
        <f>E28+F21+F13</f>
        <v>-7094.023664634280</v>
      </c>
    </row>
    <row r="29" ht="20.05" customHeight="1">
      <c r="B29" t="s" s="11">
        <v>26</v>
      </c>
      <c r="C29" s="18">
        <f>C26+C27+C28-C18-C25</f>
        <v>0</v>
      </c>
      <c r="D29" s="19">
        <f>D26+D27+D28-D18-D25</f>
        <v>0</v>
      </c>
      <c r="E29" s="19">
        <f>E26+E27+E28-E18-E25</f>
        <v>0</v>
      </c>
      <c r="F29" s="19">
        <f>F26+F27+F28-F18-F25</f>
        <v>0</v>
      </c>
    </row>
    <row r="30" ht="20.05" customHeight="1">
      <c r="B30" t="s" s="11">
        <v>27</v>
      </c>
      <c r="C30" s="18">
        <f>C18-C26-C27</f>
        <v>-14865.3404905124</v>
      </c>
      <c r="D30" s="19">
        <f>D18-D26-D27</f>
        <v>-14832.6171761197</v>
      </c>
      <c r="E30" s="19">
        <f>E18-E26-E27</f>
        <v>-14797.9746622953</v>
      </c>
      <c r="F30" s="19">
        <f>F18-F26-F27</f>
        <v>-14760.9336646343</v>
      </c>
    </row>
    <row r="31" ht="20.05" customHeight="1">
      <c r="B31" t="s" s="22">
        <v>28</v>
      </c>
      <c r="C31" s="18"/>
      <c r="D31" s="19"/>
      <c r="E31" s="19"/>
      <c r="F31" s="19"/>
    </row>
    <row r="32" ht="20.05" customHeight="1">
      <c r="B32" t="s" s="11">
        <v>29</v>
      </c>
      <c r="C32" s="18">
        <f>'Cashflow '!K34-C11</f>
        <v>197.269509487570</v>
      </c>
      <c r="D32" s="19">
        <f>C32-D11</f>
        <v>229.992823880260</v>
      </c>
      <c r="E32" s="19">
        <f>D32-E11</f>
        <v>264.635337704730</v>
      </c>
      <c r="F32" s="19">
        <f>E32-F11</f>
        <v>302.572477220430</v>
      </c>
    </row>
    <row r="33" ht="20.05" customHeight="1">
      <c r="B33" t="s" s="11">
        <v>30</v>
      </c>
      <c r="C33" s="18"/>
      <c r="D33" s="19"/>
      <c r="E33" s="19"/>
      <c r="F33" s="19">
        <v>272.5</v>
      </c>
    </row>
    <row r="34" ht="20.05" customHeight="1">
      <c r="B34" t="s" s="11">
        <v>31</v>
      </c>
      <c r="C34" s="18"/>
      <c r="D34" s="19"/>
      <c r="E34" s="19"/>
      <c r="F34" s="24">
        <f>F33/(F18+F25)</f>
        <v>0.0346348407432827</v>
      </c>
    </row>
    <row r="35" ht="20.05" customHeight="1">
      <c r="B35" t="s" s="11">
        <v>32</v>
      </c>
      <c r="C35" s="18"/>
      <c r="D35" s="19"/>
      <c r="E35" s="19"/>
      <c r="F35" s="17">
        <f>-(C13+D13+E13+F13)/F33</f>
        <v>0.00328859396223853</v>
      </c>
    </row>
    <row r="36" ht="20.05" customHeight="1">
      <c r="B36" t="s" s="11">
        <v>3</v>
      </c>
      <c r="C36" s="18"/>
      <c r="D36" s="19"/>
      <c r="E36" s="19"/>
      <c r="F36" s="19">
        <f>SUM(C9:F10)</f>
        <v>138.672477220430</v>
      </c>
    </row>
    <row r="37" ht="20.05" customHeight="1">
      <c r="B37" t="s" s="11">
        <v>33</v>
      </c>
      <c r="C37" s="18"/>
      <c r="D37" s="19"/>
      <c r="E37" s="19"/>
      <c r="F37" s="19">
        <f>'Balance sheet'!E30/F36</f>
        <v>56.2960304487145</v>
      </c>
    </row>
    <row r="38" ht="20.05" customHeight="1">
      <c r="B38" t="s" s="11">
        <v>28</v>
      </c>
      <c r="C38" s="18"/>
      <c r="D38" s="19"/>
      <c r="E38" s="19"/>
      <c r="F38" s="19">
        <f>F33/F36</f>
        <v>1.96506188871813</v>
      </c>
    </row>
    <row r="39" ht="20.05" customHeight="1">
      <c r="B39" t="s" s="11">
        <v>34</v>
      </c>
      <c r="C39" s="18"/>
      <c r="D39" s="19"/>
      <c r="E39" s="19"/>
      <c r="F39" s="19">
        <v>3</v>
      </c>
    </row>
    <row r="40" ht="20.05" customHeight="1">
      <c r="B40" t="s" s="11">
        <v>35</v>
      </c>
      <c r="C40" s="18"/>
      <c r="D40" s="19"/>
      <c r="E40" s="19"/>
      <c r="F40" s="19">
        <f>F36*F39</f>
        <v>416.017431661290</v>
      </c>
    </row>
    <row r="41" ht="20.05" customHeight="1">
      <c r="B41" t="s" s="11">
        <v>36</v>
      </c>
      <c r="C41" s="18"/>
      <c r="D41" s="19"/>
      <c r="E41" s="19"/>
      <c r="F41" s="19">
        <f>F33/F43</f>
        <v>2.5</v>
      </c>
    </row>
    <row r="42" ht="20.05" customHeight="1">
      <c r="B42" t="s" s="11">
        <v>37</v>
      </c>
      <c r="C42" s="18"/>
      <c r="D42" s="19"/>
      <c r="E42" s="19"/>
      <c r="F42" s="19">
        <f>F40/F41</f>
        <v>166.406972664516</v>
      </c>
    </row>
    <row r="43" ht="20.05" customHeight="1">
      <c r="B43" t="s" s="11">
        <v>38</v>
      </c>
      <c r="C43" s="18"/>
      <c r="D43" s="19"/>
      <c r="E43" s="19"/>
      <c r="F43" s="19">
        <f>'Share price'!C19</f>
        <v>109</v>
      </c>
    </row>
    <row r="44" ht="20.05" customHeight="1">
      <c r="B44" t="s" s="11">
        <v>39</v>
      </c>
      <c r="C44" s="18"/>
      <c r="D44" s="19"/>
      <c r="E44" s="19"/>
      <c r="F44" s="17">
        <f>F42/F43-1</f>
        <v>0.526669473986385</v>
      </c>
    </row>
    <row r="45" ht="20.05" customHeight="1">
      <c r="B45" t="s" s="11">
        <v>40</v>
      </c>
      <c r="C45" s="18"/>
      <c r="D45" s="19"/>
      <c r="E45" s="19"/>
      <c r="F45" s="17">
        <f>'Sales'!C30/'Sales'!C26-1</f>
        <v>0.849891104037527</v>
      </c>
    </row>
    <row r="46" ht="20.05" customHeight="1">
      <c r="B46" t="s" s="11">
        <v>41</v>
      </c>
      <c r="C46" s="18"/>
      <c r="D46" s="19"/>
      <c r="E46" s="19"/>
      <c r="F46" s="17">
        <f>('Sales'!D26+'Sales'!D27+'Sales'!D28+'Sales'!D29)/('Sales'!C26+'Sales'!C27+'Sales'!C28+'Sales'!C29)-1</f>
        <v>-0.0828325673483668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2188" style="25" customWidth="1"/>
    <col min="2" max="2" width="10.0391" style="25" customWidth="1"/>
    <col min="3" max="5" width="10.1719" style="25" customWidth="1"/>
    <col min="6" max="6" width="11.1719" style="25" customWidth="1"/>
    <col min="7" max="12" width="10.1719" style="25" customWidth="1"/>
    <col min="13" max="16384" width="16.3516" style="25" customWidth="1"/>
  </cols>
  <sheetData>
    <row r="1" ht="45.4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26">
        <v>42</v>
      </c>
      <c r="C3" t="s" s="26">
        <v>43</v>
      </c>
      <c r="D3" t="s" s="26">
        <v>34</v>
      </c>
      <c r="E3" t="s" s="26">
        <v>44</v>
      </c>
      <c r="F3" t="s" s="26">
        <v>45</v>
      </c>
      <c r="G3" t="s" s="26">
        <v>23</v>
      </c>
      <c r="H3" t="s" s="26">
        <v>18</v>
      </c>
      <c r="I3" t="s" s="26">
        <v>46</v>
      </c>
      <c r="J3" t="s" s="26">
        <v>6</v>
      </c>
      <c r="K3" t="s" s="26">
        <v>47</v>
      </c>
      <c r="L3" t="s" s="26">
        <v>47</v>
      </c>
    </row>
    <row r="4" ht="20.25" customHeight="1">
      <c r="B4" s="27">
        <v>2015</v>
      </c>
      <c r="C4" s="28">
        <v>511</v>
      </c>
      <c r="D4" s="29"/>
      <c r="E4" s="30">
        <v>433.6</v>
      </c>
      <c r="F4" s="30"/>
      <c r="G4" s="30">
        <f>24.6+18.5</f>
        <v>43.1</v>
      </c>
      <c r="H4" s="30">
        <v>-479.5</v>
      </c>
      <c r="I4" s="31"/>
      <c r="J4" s="32">
        <f>(H4+G4-F4+E4-C4)/C4</f>
        <v>-1.00547945205479</v>
      </c>
      <c r="K4" s="32"/>
      <c r="L4" s="32">
        <f>('Cashflow '!D8-'Cashflow '!C8)/'Cashflow '!C8</f>
        <v>-0.720022368958768</v>
      </c>
    </row>
    <row r="5" ht="20.05" customHeight="1">
      <c r="B5" s="33"/>
      <c r="C5" s="14">
        <f>1079.7-C4</f>
        <v>568.7</v>
      </c>
      <c r="D5" s="23"/>
      <c r="E5" s="19">
        <f>591.5-E4</f>
        <v>157.9</v>
      </c>
      <c r="F5" s="19">
        <f>0.06-F4</f>
        <v>0.06</v>
      </c>
      <c r="G5" s="19">
        <f>49.5+38.3-G4</f>
        <v>44.7</v>
      </c>
      <c r="H5" s="19">
        <f>-710-H4</f>
        <v>-230.5</v>
      </c>
      <c r="I5" s="17">
        <f>C5/C4-1</f>
        <v>0.112915851272016</v>
      </c>
      <c r="J5" s="34">
        <f>(H5+G5-F5+E5-C5)/C5</f>
        <v>-1.0491647617373</v>
      </c>
      <c r="K5" s="34"/>
      <c r="L5" s="34">
        <f>('Cashflow '!D9-'Cashflow '!C9)/'Cashflow '!C9</f>
        <v>-1.02968813836307</v>
      </c>
    </row>
    <row r="6" ht="20.05" customHeight="1">
      <c r="B6" s="33"/>
      <c r="C6" s="14">
        <f>1590-SUM(C4:C5)</f>
        <v>510.3</v>
      </c>
      <c r="D6" s="23"/>
      <c r="E6" s="19">
        <f>1480.7-SUM(E4:E5)</f>
        <v>889.2</v>
      </c>
      <c r="F6" s="19">
        <f>90-SUM(F4:F5)</f>
        <v>89.94</v>
      </c>
      <c r="G6" s="19">
        <f>57.6+74.5-SUM(G4:G5)</f>
        <v>44.3</v>
      </c>
      <c r="H6" s="19">
        <f>-1462-SUM(H4:H5)</f>
        <v>-752</v>
      </c>
      <c r="I6" s="17">
        <f>C6/C5-1</f>
        <v>-0.102690346404079</v>
      </c>
      <c r="J6" s="34">
        <f>(H6+G6-F6+E6-C6)/C6</f>
        <v>-0.820576131687243</v>
      </c>
      <c r="K6" s="34"/>
      <c r="L6" s="34">
        <f>('Cashflow '!D10-'Cashflow '!C10)/'Cashflow '!C10</f>
        <v>-1.06781171113201</v>
      </c>
    </row>
    <row r="7" ht="20.05" customHeight="1">
      <c r="B7" s="33"/>
      <c r="C7" s="14">
        <f>2021.6-SUM(C4:C6)</f>
        <v>431.6</v>
      </c>
      <c r="D7" s="23"/>
      <c r="E7" s="19">
        <f>995.8-SUM(E4:E6)</f>
        <v>-484.9</v>
      </c>
      <c r="F7" s="19"/>
      <c r="G7" s="19">
        <f>0.5+95.4+82-SUM(G4:G6)</f>
        <v>45.8</v>
      </c>
      <c r="H7" s="19">
        <f>-1010.2-SUM(H4:H6)</f>
        <v>451.8</v>
      </c>
      <c r="I7" s="17">
        <f>C7/C6-1</f>
        <v>-0.154223006074858</v>
      </c>
      <c r="J7" s="34">
        <f>(H7+G7-F7+E7-C7)/C7</f>
        <v>-0.970574606116775</v>
      </c>
      <c r="K7" s="34">
        <f>AVERAGE(L4:L7)</f>
        <v>-1.01181938062272</v>
      </c>
      <c r="L7" s="34">
        <f>('Cashflow '!D11-'Cashflow '!C11)/'Cashflow '!C11</f>
        <v>-1.22975530403703</v>
      </c>
    </row>
    <row r="8" ht="20.05" customHeight="1">
      <c r="B8" s="35">
        <v>2016</v>
      </c>
      <c r="C8" s="14">
        <v>334</v>
      </c>
      <c r="D8" s="23"/>
      <c r="E8" s="19">
        <f>-276.2</f>
        <v>-276.2</v>
      </c>
      <c r="F8" s="19">
        <v>0.1</v>
      </c>
      <c r="G8" s="19">
        <f>25.4+19.4+0.1</f>
        <v>44.9</v>
      </c>
      <c r="H8" s="19">
        <f>-3</f>
        <v>-3</v>
      </c>
      <c r="I8" s="17">
        <f>C8/C7-1</f>
        <v>-0.22613531047266</v>
      </c>
      <c r="J8" s="34">
        <f>(H8+G8-F8+E8-C8)/C8</f>
        <v>-1.70179640718563</v>
      </c>
      <c r="K8" s="34">
        <f>AVERAGE(L5:L8)</f>
        <v>-1.07735556557977</v>
      </c>
      <c r="L8" s="34">
        <f>('Cashflow '!D12-'Cashflow '!C12)/'Cashflow '!C12</f>
        <v>-0.982167108786983</v>
      </c>
    </row>
    <row r="9" ht="20.05" customHeight="1">
      <c r="B9" s="33"/>
      <c r="C9" s="14">
        <f>770.5-C8</f>
        <v>436.5</v>
      </c>
      <c r="D9" s="23"/>
      <c r="E9" s="19">
        <f>-302-E8</f>
        <v>-25.8</v>
      </c>
      <c r="F9" s="19">
        <f>0.1-F8</f>
        <v>0</v>
      </c>
      <c r="G9" s="19">
        <f>51.1+38+0.3-G8</f>
        <v>44.5</v>
      </c>
      <c r="H9" s="19">
        <f>-138.1-H8</f>
        <v>-135.1</v>
      </c>
      <c r="I9" s="17">
        <f>C9/C8-1</f>
        <v>0.30688622754491</v>
      </c>
      <c r="J9" s="34">
        <f>(H9+G9-F9+E9-C9)/C9</f>
        <v>-1.26666666666667</v>
      </c>
      <c r="K9" s="34">
        <f>AVERAGE(L6:L9)</f>
        <v>-1.03966947371664</v>
      </c>
      <c r="L9" s="34">
        <f>('Cashflow '!D13-'Cashflow '!C13)/'Cashflow '!C13</f>
        <v>-0.87894377091053</v>
      </c>
    </row>
    <row r="10" ht="20.05" customHeight="1">
      <c r="B10" s="33"/>
      <c r="C10" s="14">
        <f>1163-SUM(C8:C9)</f>
        <v>392.5</v>
      </c>
      <c r="D10" s="23"/>
      <c r="E10" s="19">
        <f>413.6-SUM(E8:E9)</f>
        <v>715.6</v>
      </c>
      <c r="F10" s="19">
        <f>0.1-SUM(F8:F9)</f>
        <v>0</v>
      </c>
      <c r="G10" s="19">
        <f>0.4+56.5+77-SUM(G8:G9)</f>
        <v>44.5</v>
      </c>
      <c r="H10" s="19">
        <f>-330.9-SUM(H8:H9)</f>
        <v>-192.8</v>
      </c>
      <c r="I10" s="17">
        <f>C10/C9-1</f>
        <v>-0.100801832760596</v>
      </c>
      <c r="J10" s="34">
        <f>(H10+G10-F10+E10-C10)/C10</f>
        <v>0.445350318471338</v>
      </c>
      <c r="K10" s="34">
        <f>AVERAGE(L7:L10)</f>
        <v>-1.04581231349143</v>
      </c>
      <c r="L10" s="34">
        <f>('Cashflow '!D14-'Cashflow '!C14)/'Cashflow '!C14</f>
        <v>-1.09238307023117</v>
      </c>
    </row>
    <row r="11" ht="20.05" customHeight="1">
      <c r="B11" s="33"/>
      <c r="C11" s="14">
        <f>1565.2-SUM(C8:C10)</f>
        <v>402.2</v>
      </c>
      <c r="D11" s="23"/>
      <c r="E11" s="19">
        <f>-221.5-SUM(E8:E10)</f>
        <v>-635.1</v>
      </c>
      <c r="F11" s="19">
        <f>-148.8+69.8-SUM(F8:F10)</f>
        <v>-79.09999999999999</v>
      </c>
      <c r="G11" s="19">
        <f>108.1+78.6+0.5-SUM(G8:G10)</f>
        <v>53.3</v>
      </c>
      <c r="H11" s="19">
        <f>-606.4-SUM(H8:H10)</f>
        <v>-275.5</v>
      </c>
      <c r="I11" s="17">
        <f>C11/C10-1</f>
        <v>0.0247133757961783</v>
      </c>
      <c r="J11" s="34">
        <f>(H11+G11-F11+E11-C11)/C11</f>
        <v>-2.93485827946295</v>
      </c>
      <c r="K11" s="34">
        <f>AVERAGE(L8:L11)</f>
        <v>-1.0005465055527</v>
      </c>
      <c r="L11" s="34">
        <f>('Cashflow '!D15-'Cashflow '!C15)/'Cashflow '!C15</f>
        <v>-1.04869207228213</v>
      </c>
    </row>
    <row r="12" ht="20.05" customHeight="1">
      <c r="B12" s="35">
        <v>2017</v>
      </c>
      <c r="C12" s="14">
        <v>414.1</v>
      </c>
      <c r="D12" s="23"/>
      <c r="E12" s="19">
        <f>-76</f>
        <v>-76</v>
      </c>
      <c r="F12" s="19">
        <v>0</v>
      </c>
      <c r="G12" s="19">
        <f>18.2+27.6+0.1</f>
        <v>45.9</v>
      </c>
      <c r="H12" s="19">
        <f>-358.9</f>
        <v>-358.9</v>
      </c>
      <c r="I12" s="17">
        <f>C12/C11-1</f>
        <v>0.029587270014918</v>
      </c>
      <c r="J12" s="34">
        <f>(H12+G12-F12+E12-C12)/C12</f>
        <v>-1.93938662158899</v>
      </c>
      <c r="K12" s="34">
        <f>AVERAGE(L9:L12)</f>
        <v>-1.0948535856333</v>
      </c>
      <c r="L12" s="34">
        <f>('Cashflow '!D16-'Cashflow '!C16)/'Cashflow '!C16</f>
        <v>-1.35939542910936</v>
      </c>
    </row>
    <row r="13" ht="20.05" customHeight="1">
      <c r="B13" s="33"/>
      <c r="C13" s="14">
        <f>743.1-C12</f>
        <v>329</v>
      </c>
      <c r="D13" s="23"/>
      <c r="E13" s="19">
        <f>-72.1-E12</f>
        <v>3.9</v>
      </c>
      <c r="F13" s="19">
        <v>0</v>
      </c>
      <c r="G13" s="19">
        <f>56.7+35+0.3-G12</f>
        <v>46.1</v>
      </c>
      <c r="H13" s="19">
        <f>-483-H12</f>
        <v>-124.1</v>
      </c>
      <c r="I13" s="17">
        <f>C13/C12-1</f>
        <v>-0.205505916445303</v>
      </c>
      <c r="J13" s="34">
        <f>(H13+G13-F13+E13-C13)/C13</f>
        <v>-1.22522796352584</v>
      </c>
      <c r="K13" s="34">
        <f>AVERAGE(L10:L13)</f>
        <v>-1.14925096394568</v>
      </c>
      <c r="L13" s="34">
        <f>('Cashflow '!D17-'Cashflow '!C17)/'Cashflow '!C17</f>
        <v>-1.09653328416006</v>
      </c>
    </row>
    <row r="14" ht="20.05" customHeight="1">
      <c r="B14" s="33"/>
      <c r="C14" s="14">
        <f>1140.4-SUM(C12:C13)</f>
        <v>397.3</v>
      </c>
      <c r="D14" s="23"/>
      <c r="E14" s="19">
        <f>73.3-SUM(E12:E13)</f>
        <v>145.4</v>
      </c>
      <c r="F14" s="19">
        <v>0</v>
      </c>
      <c r="G14" s="19">
        <f>0.4+83.3+53.8-SUM(G12:G13)</f>
        <v>45.5</v>
      </c>
      <c r="H14" s="19">
        <f>-705.3-SUM(H12:H13)</f>
        <v>-222.3</v>
      </c>
      <c r="I14" s="17">
        <f>C14/C13-1</f>
        <v>0.207598784194529</v>
      </c>
      <c r="J14" s="34">
        <f>(H14+G14-F14+E14-C14)/C14</f>
        <v>-1.07903347596275</v>
      </c>
      <c r="K14" s="34">
        <f>AVERAGE(L11:L14)</f>
        <v>-1.1121938865537</v>
      </c>
      <c r="L14" s="34">
        <f>('Cashflow '!D18-'Cashflow '!C18)/'Cashflow '!C18</f>
        <v>-0.94415476066326</v>
      </c>
    </row>
    <row r="15" ht="20.05" customHeight="1">
      <c r="B15" s="33"/>
      <c r="C15" s="14">
        <f>1504.8-SUM(C12:C14)</f>
        <v>364.4</v>
      </c>
      <c r="D15" s="23"/>
      <c r="E15" s="19">
        <f>114.3-SUM(E12:E14)</f>
        <v>41</v>
      </c>
      <c r="F15" s="19">
        <f>-31.3+60.5-SUM(F12:F14)</f>
        <v>29.2</v>
      </c>
      <c r="G15" s="19">
        <f>115.9+81.8+0.5-SUM(G12:G14)</f>
        <v>60.7</v>
      </c>
      <c r="H15" s="19">
        <f>-1558.5-SUM(H12:H14)</f>
        <v>-853.2</v>
      </c>
      <c r="I15" s="17">
        <f>C15/C14-1</f>
        <v>-0.082808960483262</v>
      </c>
      <c r="J15" s="34">
        <f>(H15+G15-F15+E15-C15)/C15</f>
        <v>-3.14242590559824</v>
      </c>
      <c r="K15" s="34">
        <f>AVERAGE(L12:L15)</f>
        <v>-0.884158883601434</v>
      </c>
      <c r="L15" s="34">
        <f>('Cashflow '!D19-'Cashflow '!C19)/'Cashflow '!C19</f>
        <v>-0.136552060473055</v>
      </c>
    </row>
    <row r="16" ht="20.05" customHeight="1">
      <c r="B16" s="35">
        <v>2018</v>
      </c>
      <c r="C16" s="14">
        <f>305.3</f>
        <v>305.3</v>
      </c>
      <c r="D16" s="23"/>
      <c r="E16" s="19">
        <f>175.6</f>
        <v>175.6</v>
      </c>
      <c r="F16" s="19">
        <v>0</v>
      </c>
      <c r="G16" s="19">
        <f>14.9+22.1+0.1</f>
        <v>37.1</v>
      </c>
      <c r="H16" s="19">
        <f>-389.1</f>
        <v>-389.1</v>
      </c>
      <c r="I16" s="17">
        <f>C16/C15-1</f>
        <v>-0.16218441273326</v>
      </c>
      <c r="J16" s="34">
        <f>(H16+G16-F16+E16-C16)/C16</f>
        <v>-1.5777923354078</v>
      </c>
      <c r="K16" s="34">
        <f>AVERAGE(L13:L16)</f>
        <v>-0.7603566317603599</v>
      </c>
      <c r="L16" s="34">
        <f>('Cashflow '!D20-'Cashflow '!C20)/'Cashflow '!C20</f>
        <v>-0.864186421745066</v>
      </c>
    </row>
    <row r="17" ht="20.05" customHeight="1">
      <c r="B17" s="33"/>
      <c r="C17" s="14">
        <f>630.7-C16</f>
        <v>325.4</v>
      </c>
      <c r="D17" s="23"/>
      <c r="E17" s="19">
        <f>642.7-E16</f>
        <v>467.1</v>
      </c>
      <c r="F17" s="19">
        <v>0</v>
      </c>
      <c r="G17" s="19">
        <f>30.5+46.8+0.3-G16</f>
        <v>40.5</v>
      </c>
      <c r="H17" s="19">
        <f>-983.1-H16</f>
        <v>-594</v>
      </c>
      <c r="I17" s="17">
        <f>C17/C16-1</f>
        <v>0.0658368817556502</v>
      </c>
      <c r="J17" s="34">
        <f>(H17+G17-F17+E17-C17)/C17</f>
        <v>-1.26551936078672</v>
      </c>
      <c r="K17" s="34">
        <f>AVERAGE(L14:L17)</f>
        <v>-0.773090186560775</v>
      </c>
      <c r="L17" s="34">
        <f>('Cashflow '!D21-'Cashflow '!C21)/'Cashflow '!C21</f>
        <v>-1.14746750336172</v>
      </c>
    </row>
    <row r="18" ht="20.05" customHeight="1">
      <c r="B18" s="33"/>
      <c r="C18" s="14">
        <f>1073.7-SUM(C16:C17)</f>
        <v>443</v>
      </c>
      <c r="D18" s="23"/>
      <c r="E18" s="19">
        <f>1065.2-SUM(E16:E17)</f>
        <v>422.5</v>
      </c>
      <c r="F18" s="19">
        <v>0</v>
      </c>
      <c r="G18" s="19">
        <f>71.6+47.5+0.4-SUM(G16:G17)</f>
        <v>41.9</v>
      </c>
      <c r="H18" s="19">
        <f>-1506.5-SUM(H16:H17)</f>
        <v>-523.4</v>
      </c>
      <c r="I18" s="17">
        <f>C18/C17-1</f>
        <v>0.36140135218193</v>
      </c>
      <c r="J18" s="34">
        <f>(H18+G18-F18+E18-C18)/C18</f>
        <v>-1.13318284424379</v>
      </c>
      <c r="K18" s="34">
        <f>AVERAGE(L15:L18)</f>
        <v>-0.607059345688524</v>
      </c>
      <c r="L18" s="34">
        <f>('Cashflow '!D22-'Cashflow '!C22)/'Cashflow '!C22</f>
        <v>-0.280031397174254</v>
      </c>
    </row>
    <row r="19" ht="20.05" customHeight="1">
      <c r="B19" s="33"/>
      <c r="C19" s="14">
        <f>1951.8-SUM(C16:C18)</f>
        <v>878.1</v>
      </c>
      <c r="D19" s="23"/>
      <c r="E19" s="19">
        <f>806.1+0.6-SUM(E16:E18)</f>
        <v>-258.5</v>
      </c>
      <c r="F19" s="19">
        <f>-17.1+467.8-SUM(F16:F18)</f>
        <v>450.7</v>
      </c>
      <c r="G19" s="19">
        <f>246.3-SUM(G16:G18)</f>
        <v>126.8</v>
      </c>
      <c r="H19" s="19">
        <f>-1848.9-SUM(H16:H18)</f>
        <v>-342.4</v>
      </c>
      <c r="I19" s="17">
        <f>C19/C18-1</f>
        <v>0.9821670428893911</v>
      </c>
      <c r="J19" s="34">
        <f>(H19+G19-F19+E19-C19)/C19</f>
        <v>-2.05318300876893</v>
      </c>
      <c r="K19" s="34">
        <f>AVERAGE(L16:L19)</f>
        <v>-0.87490115592407</v>
      </c>
      <c r="L19" s="34">
        <f>('Cashflow '!D23-'Cashflow '!C23)/'Cashflow '!C23</f>
        <v>-1.20791930141524</v>
      </c>
    </row>
    <row r="20" ht="20.05" customHeight="1">
      <c r="B20" s="35">
        <v>2019</v>
      </c>
      <c r="C20" s="14">
        <v>479.1</v>
      </c>
      <c r="D20" s="23"/>
      <c r="E20" s="19">
        <v>-179.2</v>
      </c>
      <c r="F20" s="19">
        <v>0</v>
      </c>
      <c r="G20" s="19">
        <f>67+0.1</f>
        <v>67.09999999999999</v>
      </c>
      <c r="H20" s="19">
        <v>33.6</v>
      </c>
      <c r="I20" s="17">
        <f>C20/C19-1</f>
        <v>-0.454390160573967</v>
      </c>
      <c r="J20" s="34">
        <f>(H20+G20-F20+E20-C20)/C20</f>
        <v>-1.1638488833229</v>
      </c>
      <c r="K20" s="34">
        <f>AVERAGE(L17:L20)</f>
        <v>-0.904391201450094</v>
      </c>
      <c r="L20" s="34">
        <f>('Cashflow '!D24-'Cashflow '!C24)/'Cashflow '!C24</f>
        <v>-0.982146603849162</v>
      </c>
    </row>
    <row r="21" ht="20.05" customHeight="1">
      <c r="B21" s="33"/>
      <c r="C21" s="14">
        <f>916.3-C20</f>
        <v>437.2</v>
      </c>
      <c r="D21" s="23"/>
      <c r="E21" s="19">
        <f>-264.3-E20</f>
        <v>-85.09999999999999</v>
      </c>
      <c r="F21" s="19">
        <v>0</v>
      </c>
      <c r="G21" s="19">
        <f>134.9+0.3-G20</f>
        <v>68.09999999999999</v>
      </c>
      <c r="H21" s="19">
        <f>-45.8-H20</f>
        <v>-79.40000000000001</v>
      </c>
      <c r="I21" s="17">
        <f>C21/C20-1</f>
        <v>-0.0874556460029221</v>
      </c>
      <c r="J21" s="34">
        <f>(H21+G21-F21+E21-C21)/C21</f>
        <v>-1.22049405306496</v>
      </c>
      <c r="K21" s="34">
        <f>AVERAGE(L18:L21)</f>
        <v>-0.872086246983607</v>
      </c>
      <c r="L21" s="34">
        <f>('Cashflow '!D25-'Cashflow '!C25)/'Cashflow '!C25</f>
        <v>-1.01824768549577</v>
      </c>
    </row>
    <row r="22" ht="20.05" customHeight="1">
      <c r="B22" s="33"/>
      <c r="C22" s="14">
        <f>1421.1-SUM(C20:C21)</f>
        <v>504.8</v>
      </c>
      <c r="D22" s="23"/>
      <c r="E22" s="19">
        <f>-230.2-SUM(E20:E21)</f>
        <v>34.1</v>
      </c>
      <c r="F22" s="19">
        <v>0</v>
      </c>
      <c r="G22" s="19">
        <f>0.4+202.2-SUM(G20:G21)</f>
        <v>67.40000000000001</v>
      </c>
      <c r="H22" s="19">
        <f>-186.2-SUM(H20:H21)</f>
        <v>-140.4</v>
      </c>
      <c r="I22" s="17">
        <f>C22/C21-1</f>
        <v>0.154620311070448</v>
      </c>
      <c r="J22" s="34">
        <f>(H22+G22-F22+E22-C22)/C22</f>
        <v>-1.07706022187005</v>
      </c>
      <c r="K22" s="34">
        <f>AVERAGE(L19:L22)</f>
        <v>-1.07730199330857</v>
      </c>
      <c r="L22" s="34">
        <f>('Cashflow '!D26-'Cashflow '!C26)/'Cashflow '!C26</f>
        <v>-1.10089438247412</v>
      </c>
    </row>
    <row r="23" ht="20.05" customHeight="1">
      <c r="B23" s="33"/>
      <c r="C23" s="14">
        <f>1984-SUM(C20:C22)</f>
        <v>562.9</v>
      </c>
      <c r="D23" s="23"/>
      <c r="E23" s="19">
        <f>-475.3-SUM(E20:E22)</f>
        <v>-245.1</v>
      </c>
      <c r="F23" s="19">
        <f>3519.9-SUM(F20:F22)</f>
        <v>3519.9</v>
      </c>
      <c r="G23" s="19">
        <f>273.8+0.6-SUM(G20:G22)</f>
        <v>71.8</v>
      </c>
      <c r="H23" s="19">
        <f>-4893.1-SUM(H20:H22)</f>
        <v>-4706.9</v>
      </c>
      <c r="I23" s="17">
        <f>C23/C22-1</f>
        <v>0.115095087163233</v>
      </c>
      <c r="J23" s="23"/>
      <c r="K23" s="34">
        <f>AVERAGE(L20:L23)</f>
        <v>-1.02853950735115</v>
      </c>
      <c r="L23" s="34">
        <f>('Cashflow '!D27-'Cashflow '!C27)/'Cashflow '!C27</f>
        <v>-1.01286935758555</v>
      </c>
    </row>
    <row r="24" ht="20.05" customHeight="1">
      <c r="B24" s="35">
        <v>2020</v>
      </c>
      <c r="C24" s="14">
        <v>540.3</v>
      </c>
      <c r="D24" s="23"/>
      <c r="E24" s="19">
        <v>2138</v>
      </c>
      <c r="F24" s="19">
        <f>28.2</f>
        <v>28.2</v>
      </c>
      <c r="G24" s="19">
        <f>48.5+0.1</f>
        <v>48.6</v>
      </c>
      <c r="H24" s="19">
        <v>-2024.3</v>
      </c>
      <c r="I24" s="17">
        <f>C24/C23-1</f>
        <v>-0.0401492272162018</v>
      </c>
      <c r="J24" s="34">
        <f>(H24+G24-F24+E24-C24)/C24</f>
        <v>-0.7518045530260971</v>
      </c>
      <c r="K24" s="34">
        <f>AVERAGE(L21:L24)</f>
        <v>-1.03977172431339</v>
      </c>
      <c r="L24" s="34">
        <f>('Cashflow '!D28-'Cashflow '!C28)/'Cashflow '!C28</f>
        <v>-1.02707547169811</v>
      </c>
    </row>
    <row r="25" ht="20.05" customHeight="1">
      <c r="B25" s="33"/>
      <c r="C25" s="14">
        <f>1137.1-C24</f>
        <v>596.8</v>
      </c>
      <c r="D25" s="23"/>
      <c r="E25" s="19">
        <f>363.7-E24</f>
        <v>-1774.3</v>
      </c>
      <c r="F25" s="19">
        <f>28.2-F24</f>
        <v>0</v>
      </c>
      <c r="G25" s="19">
        <f>91.5+0.3-G24</f>
        <v>43.2</v>
      </c>
      <c r="H25" s="19">
        <f>-508.2-H24</f>
        <v>1516.1</v>
      </c>
      <c r="I25" s="17">
        <f>C25/C24-1</f>
        <v>0.104571534332778</v>
      </c>
      <c r="J25" s="34">
        <f>(H25+G25-F25+E25-C25)/C25</f>
        <v>-1.36025469168901</v>
      </c>
      <c r="K25" s="34">
        <f>AVERAGE(L22:L25)</f>
        <v>-1.04430230162803</v>
      </c>
      <c r="L25" s="34">
        <f>('Cashflow '!D29-'Cashflow '!C29)/'Cashflow '!C29</f>
        <v>-1.03636999475433</v>
      </c>
    </row>
    <row r="26" ht="20.05" customHeight="1">
      <c r="B26" s="33"/>
      <c r="C26" s="14">
        <f>1734-SUM(C24:C25)</f>
        <v>596.9</v>
      </c>
      <c r="D26" s="36">
        <v>638.576</v>
      </c>
      <c r="E26" s="19">
        <f>898.6-SUM(E24:E25)</f>
        <v>534.9</v>
      </c>
      <c r="F26" s="19">
        <f>28.2-SUM(F24:F25)</f>
        <v>0</v>
      </c>
      <c r="G26" s="19">
        <f>152.6+0.4-SUM(G24:G25)</f>
        <v>61.2</v>
      </c>
      <c r="H26" s="19">
        <f>-1055.2-SUM(H24:H25)</f>
        <v>-547</v>
      </c>
      <c r="I26" s="17">
        <f>C26/C25-1</f>
        <v>0.000167560321715818</v>
      </c>
      <c r="J26" s="34">
        <f>(H26+G26-F26+E26-C26)/C26</f>
        <v>-0.917741665270565</v>
      </c>
      <c r="K26" s="34">
        <f>AVERAGE(L23:L26)</f>
        <v>-1.00840723346778</v>
      </c>
      <c r="L26" s="34">
        <f>('Cashflow '!D30-'Cashflow '!C30)/'Cashflow '!C30</f>
        <v>-0.957314109833144</v>
      </c>
    </row>
    <row r="27" ht="20.05" customHeight="1">
      <c r="B27" s="33"/>
      <c r="C27" s="14">
        <f>2506.7-SUM(C24:C26)</f>
        <v>772.7</v>
      </c>
      <c r="D27" s="36">
        <v>746.125</v>
      </c>
      <c r="E27" s="19">
        <f>190.6-SUM(E24:E26)</f>
        <v>-708</v>
      </c>
      <c r="F27" s="19">
        <f>211.9-SUM(F24:F26)</f>
        <v>183.7</v>
      </c>
      <c r="G27" s="19">
        <f>6.3+226.7-SUM(G24:G26)</f>
        <v>80</v>
      </c>
      <c r="H27" s="19">
        <f>-954.1-SUM(H24:H26)</f>
        <v>101.1</v>
      </c>
      <c r="I27" s="17">
        <f>C27/C26-1</f>
        <v>0.29452169542637</v>
      </c>
      <c r="J27" s="34">
        <f>(H27+G27-F27+E27-C27)/C27</f>
        <v>-1.91963245761615</v>
      </c>
      <c r="K27" s="34">
        <f>AVERAGE(L24:L27)</f>
        <v>-0.995674992768338</v>
      </c>
      <c r="L27" s="34">
        <f>('Cashflow '!D31-'Cashflow '!C31)/'Cashflow '!C31</f>
        <v>-0.961940394787769</v>
      </c>
    </row>
    <row r="28" ht="20.05" customHeight="1">
      <c r="B28" s="35">
        <v>2021</v>
      </c>
      <c r="C28" s="14">
        <v>789</v>
      </c>
      <c r="D28" s="36">
        <v>731.2025</v>
      </c>
      <c r="E28" s="19">
        <v>427.7</v>
      </c>
      <c r="F28" s="36">
        <v>0</v>
      </c>
      <c r="G28" s="37">
        <f>41.5+13</f>
        <v>54.5</v>
      </c>
      <c r="H28" s="37">
        <v>-422.3</v>
      </c>
      <c r="I28" s="17">
        <f>C28/C27-1</f>
        <v>0.0210948621716061</v>
      </c>
      <c r="J28" s="34">
        <f>(H28+G28-F28+E28-C28)/C28</f>
        <v>-0.924081115335868</v>
      </c>
      <c r="K28" s="34">
        <f>AVERAGE(L25:L28)</f>
        <v>-0.994668369613948</v>
      </c>
      <c r="L28" s="34">
        <f>('Cashflow '!D32-'Cashflow '!C32)/'Cashflow '!C32</f>
        <v>-1.02304897908055</v>
      </c>
    </row>
    <row r="29" ht="20.05" customHeight="1">
      <c r="B29" s="33"/>
      <c r="C29" s="14">
        <f>1774.5-C28</f>
        <v>985.5</v>
      </c>
      <c r="D29" s="36">
        <v>767.762625</v>
      </c>
      <c r="E29" s="19">
        <f>361.2-E28</f>
        <v>-66.5</v>
      </c>
      <c r="F29" s="36">
        <f>0</f>
        <v>0</v>
      </c>
      <c r="G29" s="37">
        <f>98.6+0.3-G28</f>
        <v>44.4</v>
      </c>
      <c r="H29" s="37">
        <f>-346.3-H28</f>
        <v>76</v>
      </c>
      <c r="I29" s="17">
        <f>C29/C28-1</f>
        <v>0.249049429657795</v>
      </c>
      <c r="J29" s="34">
        <f>(H29+G29-F29+E29-C29)/C29</f>
        <v>-0.945306950786403</v>
      </c>
      <c r="K29" s="34">
        <f>AVERAGE(L26:L29)</f>
        <v>-0.990028930439196</v>
      </c>
      <c r="L29" s="34">
        <f>('Cashflow '!D33-'Cashflow '!C33)/'Cashflow '!C33</f>
        <v>-1.01781223805532</v>
      </c>
    </row>
    <row r="30" ht="20.05" customHeight="1">
      <c r="B30" s="33"/>
      <c r="C30" s="14">
        <f>2878.7-C29-C28</f>
        <v>1104.2</v>
      </c>
      <c r="D30" s="36">
        <v>1054.485</v>
      </c>
      <c r="E30" s="19">
        <f>199.9-E29-E28</f>
        <v>-161.3</v>
      </c>
      <c r="F30" s="36">
        <v>83.90000000000001</v>
      </c>
      <c r="G30" s="37">
        <f>165.1-G29-G28</f>
        <v>66.2</v>
      </c>
      <c r="H30" s="37">
        <f>-80.5-H29-H28</f>
        <v>265.8</v>
      </c>
      <c r="I30" s="17">
        <f>C30/C29-1</f>
        <v>0.120446473871131</v>
      </c>
      <c r="J30" s="34">
        <f>(H30+G30-F30+E30-C30)/C30</f>
        <v>-0.92139105234559</v>
      </c>
      <c r="K30" s="34">
        <f>AVERAGE(L27:L30)</f>
        <v>-0.998920393852658</v>
      </c>
      <c r="L30" s="34">
        <f>('Cashflow '!D34-'Cashflow '!C34)/'Cashflow '!C34</f>
        <v>-0.992879963486992</v>
      </c>
    </row>
    <row r="31" ht="20.05" customHeight="1">
      <c r="B31" s="33"/>
      <c r="C31" s="14"/>
      <c r="D31" s="36">
        <v>1054.485</v>
      </c>
      <c r="E31" s="36"/>
      <c r="F31" s="23"/>
      <c r="G31" s="23"/>
      <c r="H31" s="23"/>
      <c r="I31" s="13"/>
      <c r="J31" s="38">
        <f>'Model'!C7</f>
        <v>-0.945306950786403</v>
      </c>
      <c r="K31" s="38"/>
      <c r="L31" s="38"/>
    </row>
    <row r="32" ht="20.05" customHeight="1">
      <c r="B32" s="35">
        <v>2022</v>
      </c>
      <c r="C32" s="14"/>
      <c r="D32" s="36">
        <f>'Model'!D6</f>
        <v>1169.67906</v>
      </c>
      <c r="E32" s="36"/>
      <c r="F32" s="23"/>
      <c r="G32" s="23"/>
      <c r="H32" s="23"/>
      <c r="I32" s="13"/>
      <c r="J32" s="38"/>
      <c r="K32" s="38"/>
      <c r="L32" s="38"/>
    </row>
    <row r="33" ht="20.05" customHeight="1">
      <c r="B33" s="33"/>
      <c r="C33" s="14"/>
      <c r="D33" s="36">
        <f>'Model'!E6</f>
        <v>1204.7694318</v>
      </c>
      <c r="E33" s="36"/>
      <c r="F33" s="23"/>
      <c r="G33" s="23"/>
      <c r="H33" s="23"/>
      <c r="I33" s="13"/>
      <c r="J33" s="38"/>
      <c r="K33" s="38"/>
      <c r="L33" s="38"/>
    </row>
    <row r="34" ht="20.05" customHeight="1">
      <c r="B34" s="33"/>
      <c r="C34" s="14"/>
      <c r="D34" s="15">
        <f>'Model'!F6</f>
        <v>1265.00790339</v>
      </c>
      <c r="E34" s="15"/>
      <c r="F34" s="23"/>
      <c r="G34" s="23"/>
      <c r="H34" s="23"/>
      <c r="I34" s="13"/>
      <c r="J34" s="38"/>
      <c r="K34" s="38"/>
      <c r="L34" s="38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05469" style="39" customWidth="1"/>
    <col min="2" max="2" width="7.20312" style="39" customWidth="1"/>
    <col min="3" max="11" width="10.9844" style="39" customWidth="1"/>
    <col min="12" max="16384" width="16.3516" style="39" customWidth="1"/>
  </cols>
  <sheetData>
    <row r="1" ht="26.7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42</v>
      </c>
      <c r="C3" t="s" s="26">
        <v>49</v>
      </c>
      <c r="D3" t="s" s="26">
        <v>8</v>
      </c>
      <c r="E3" t="s" s="26">
        <v>50</v>
      </c>
      <c r="F3" t="s" s="26">
        <v>11</v>
      </c>
      <c r="G3" t="s" s="26">
        <v>12</v>
      </c>
      <c r="H3" t="s" s="26">
        <v>51</v>
      </c>
      <c r="I3" t="s" s="26">
        <v>52</v>
      </c>
      <c r="J3" t="s" s="26">
        <v>3</v>
      </c>
      <c r="K3" t="s" s="26">
        <v>29</v>
      </c>
    </row>
    <row r="4" ht="20.25" customHeight="1" hidden="1">
      <c r="B4" s="40">
        <v>2014</v>
      </c>
      <c r="C4" s="41">
        <f>#REF!</f>
      </c>
      <c r="D4" s="42">
        <f>#REF!</f>
      </c>
      <c r="E4" s="42">
        <f>#REF!</f>
      </c>
      <c r="F4" s="42">
        <f t="shared" si="3" ref="F4:G4">#REF!</f>
      </c>
      <c r="G4" s="42">
        <f t="shared" si="3"/>
      </c>
      <c r="H4" s="42">
        <f>#REF!</f>
      </c>
      <c r="I4" s="42">
        <f>#REF!</f>
      </c>
      <c r="J4" s="42"/>
      <c r="K4" s="42"/>
    </row>
    <row r="5" ht="20.05" customHeight="1" hidden="1">
      <c r="B5" s="43"/>
      <c r="C5" s="41">
        <f>#REF!-#REF!</f>
      </c>
      <c r="D5" s="42">
        <f>#REF!-#REF!</f>
      </c>
      <c r="E5" s="42">
        <f>#REF!-#REF!</f>
      </c>
      <c r="F5" s="42">
        <f t="shared" si="10" ref="F5:G7">#REF!-#REF!</f>
      </c>
      <c r="G5" s="42">
        <f t="shared" si="10"/>
      </c>
      <c r="H5" s="42">
        <f>#REF!-#REF!</f>
      </c>
      <c r="I5" s="42">
        <f>#REF!-#REF!</f>
      </c>
      <c r="J5" s="42"/>
      <c r="K5" s="42"/>
    </row>
    <row r="6" ht="20.05" customHeight="1" hidden="1">
      <c r="B6" s="43"/>
      <c r="C6" s="41">
        <f>#REF!-#REF!</f>
      </c>
      <c r="D6" s="42">
        <f>#REF!-#REF!</f>
      </c>
      <c r="E6" s="42">
        <f>#REF!-#REF!</f>
      </c>
      <c r="F6" s="42">
        <f t="shared" si="10"/>
      </c>
      <c r="G6" s="42">
        <f t="shared" si="10"/>
      </c>
      <c r="H6" s="42">
        <f>#REF!-#REF!</f>
      </c>
      <c r="I6" s="42">
        <f>#REF!-#REF!</f>
      </c>
      <c r="J6" s="42"/>
      <c r="K6" s="42"/>
    </row>
    <row r="7" ht="20.05" customHeight="1" hidden="1">
      <c r="B7" s="43"/>
      <c r="C7" s="41">
        <f>#REF!-#REF!</f>
      </c>
      <c r="D7" s="42">
        <f>#REF!-#REF!</f>
      </c>
      <c r="E7" s="42">
        <f>#REF!-#REF!</f>
      </c>
      <c r="F7" s="42">
        <f t="shared" si="10"/>
      </c>
      <c r="G7" s="42">
        <f t="shared" si="10"/>
      </c>
      <c r="H7" s="42">
        <f>#REF!-#REF!</f>
      </c>
      <c r="I7" s="42">
        <f>#REF!-#REF!</f>
      </c>
      <c r="J7" s="42"/>
      <c r="K7" s="42"/>
    </row>
    <row r="8" ht="20.05" customHeight="1">
      <c r="B8" s="27">
        <v>2015</v>
      </c>
      <c r="C8" s="28">
        <v>464.93</v>
      </c>
      <c r="D8" s="30">
        <v>130.17</v>
      </c>
      <c r="E8" s="30">
        <v>1234.4</v>
      </c>
      <c r="F8" s="30"/>
      <c r="G8" s="30"/>
      <c r="H8" s="30">
        <v>-1318.77</v>
      </c>
      <c r="I8" s="30"/>
      <c r="J8" s="30"/>
      <c r="K8" s="30"/>
    </row>
    <row r="9" ht="20.05" customHeight="1">
      <c r="B9" s="33"/>
      <c r="C9" s="14">
        <v>660.87</v>
      </c>
      <c r="D9" s="19">
        <v>-19.62</v>
      </c>
      <c r="E9" s="19">
        <v>-23.82</v>
      </c>
      <c r="F9" s="19"/>
      <c r="G9" s="19"/>
      <c r="H9" s="19">
        <v>10.51</v>
      </c>
      <c r="I9" s="19"/>
      <c r="J9" s="19"/>
      <c r="K9" s="19"/>
    </row>
    <row r="10" ht="20.05" customHeight="1">
      <c r="B10" s="33"/>
      <c r="C10" s="14">
        <v>404.06</v>
      </c>
      <c r="D10" s="19">
        <v>-27.4</v>
      </c>
      <c r="E10" s="19">
        <v>191.71</v>
      </c>
      <c r="F10" s="19"/>
      <c r="G10" s="19"/>
      <c r="H10" s="19">
        <v>-166.48</v>
      </c>
      <c r="I10" s="19"/>
      <c r="J10" s="19"/>
      <c r="K10" s="19"/>
    </row>
    <row r="11" ht="20.05" customHeight="1">
      <c r="B11" s="33"/>
      <c r="C11" s="14">
        <v>436.46</v>
      </c>
      <c r="D11" s="19">
        <v>-100.279</v>
      </c>
      <c r="E11" s="19">
        <v>84.61</v>
      </c>
      <c r="F11" s="19"/>
      <c r="G11" s="19"/>
      <c r="H11" s="19">
        <v>-7.26</v>
      </c>
      <c r="I11" s="19"/>
      <c r="J11" s="19"/>
      <c r="K11" s="19"/>
    </row>
    <row r="12" ht="20.05" customHeight="1">
      <c r="B12" s="35">
        <v>2016</v>
      </c>
      <c r="C12" s="14">
        <v>315.148</v>
      </c>
      <c r="D12" s="19">
        <v>5.62</v>
      </c>
      <c r="E12" s="19">
        <v>376.325</v>
      </c>
      <c r="F12" s="19"/>
      <c r="G12" s="19"/>
      <c r="H12" s="19">
        <v>-373.14</v>
      </c>
      <c r="I12" s="19">
        <f>D12+E12</f>
        <v>381.945</v>
      </c>
      <c r="J12" s="19">
        <f>AVERAGE(I9:I12)</f>
        <v>381.945</v>
      </c>
      <c r="K12" s="19">
        <f>-H12</f>
        <v>373.14</v>
      </c>
    </row>
    <row r="13" ht="20.05" customHeight="1">
      <c r="B13" s="33"/>
      <c r="C13" s="14">
        <v>444.752</v>
      </c>
      <c r="D13" s="19">
        <v>53.84</v>
      </c>
      <c r="E13" s="19">
        <v>-70.565</v>
      </c>
      <c r="F13" s="19"/>
      <c r="G13" s="19"/>
      <c r="H13" s="19">
        <v>33.24</v>
      </c>
      <c r="I13" s="19">
        <f>D13+E13</f>
        <v>-16.725</v>
      </c>
      <c r="J13" s="19">
        <f>AVERAGE(I10:I13)</f>
        <v>182.61</v>
      </c>
      <c r="K13" s="19">
        <f>-H13+K12</f>
        <v>339.9</v>
      </c>
    </row>
    <row r="14" ht="20.05" customHeight="1">
      <c r="B14" s="33"/>
      <c r="C14" s="14">
        <v>409.22</v>
      </c>
      <c r="D14" s="19">
        <v>-37.805</v>
      </c>
      <c r="E14" s="19">
        <v>35.31</v>
      </c>
      <c r="F14" s="19"/>
      <c r="G14" s="19"/>
      <c r="H14" s="19">
        <v>34.47</v>
      </c>
      <c r="I14" s="19">
        <f>D14+E14</f>
        <v>-2.495</v>
      </c>
      <c r="J14" s="19">
        <f>AVERAGE(I11:I14)</f>
        <v>120.908333333333</v>
      </c>
      <c r="K14" s="19">
        <f>-H14+K13</f>
        <v>305.43</v>
      </c>
    </row>
    <row r="15" ht="20.05" customHeight="1">
      <c r="B15" s="33"/>
      <c r="C15" s="14">
        <v>274.48</v>
      </c>
      <c r="D15" s="19">
        <v>-13.365</v>
      </c>
      <c r="E15" s="19">
        <v>-56.8</v>
      </c>
      <c r="F15" s="19"/>
      <c r="G15" s="19"/>
      <c r="H15" s="19">
        <v>30.53</v>
      </c>
      <c r="I15" s="19">
        <f>D15+E15</f>
        <v>-70.16500000000001</v>
      </c>
      <c r="J15" s="19">
        <f>AVERAGE(I12:I15)</f>
        <v>73.14</v>
      </c>
      <c r="K15" s="19">
        <f>-H15+K14</f>
        <v>274.9</v>
      </c>
    </row>
    <row r="16" ht="20.05" customHeight="1">
      <c r="B16" s="35">
        <v>2017</v>
      </c>
      <c r="C16" s="14">
        <v>382.42</v>
      </c>
      <c r="D16" s="19">
        <v>-137.44</v>
      </c>
      <c r="E16" s="19">
        <v>-14.9</v>
      </c>
      <c r="F16" s="19"/>
      <c r="G16" s="19"/>
      <c r="H16" s="19">
        <v>155.9</v>
      </c>
      <c r="I16" s="19">
        <f>D16+E16</f>
        <v>-152.34</v>
      </c>
      <c r="J16" s="19">
        <f>AVERAGE(I13:I16)</f>
        <v>-60.43125</v>
      </c>
      <c r="K16" s="19">
        <f>-H16+K15</f>
        <v>119</v>
      </c>
    </row>
    <row r="17" ht="20.05" customHeight="1">
      <c r="B17" s="33"/>
      <c r="C17" s="14">
        <v>325.38</v>
      </c>
      <c r="D17" s="19">
        <v>-31.41</v>
      </c>
      <c r="E17" s="19">
        <v>-18.8</v>
      </c>
      <c r="F17" s="19"/>
      <c r="G17" s="19"/>
      <c r="H17" s="19">
        <v>34.21</v>
      </c>
      <c r="I17" s="19">
        <f>D17+E17</f>
        <v>-50.21</v>
      </c>
      <c r="J17" s="19">
        <f>AVERAGE(I14:I17)</f>
        <v>-68.80249999999999</v>
      </c>
      <c r="K17" s="19">
        <f>-H17+K16</f>
        <v>84.79000000000001</v>
      </c>
    </row>
    <row r="18" ht="20.05" customHeight="1">
      <c r="B18" s="33"/>
      <c r="C18" s="14">
        <v>383.56</v>
      </c>
      <c r="D18" s="19">
        <v>21.42</v>
      </c>
      <c r="E18" s="19">
        <v>-31.06</v>
      </c>
      <c r="F18" s="19"/>
      <c r="G18" s="19"/>
      <c r="H18" s="19">
        <v>-4.27</v>
      </c>
      <c r="I18" s="19">
        <f>D18+E18</f>
        <v>-9.640000000000001</v>
      </c>
      <c r="J18" s="19">
        <f>AVERAGE(I15:I18)</f>
        <v>-70.58875</v>
      </c>
      <c r="K18" s="19">
        <f>-H18+K17</f>
        <v>89.06</v>
      </c>
    </row>
    <row r="19" ht="20.05" customHeight="1">
      <c r="B19" s="33"/>
      <c r="C19" s="14">
        <v>369.09</v>
      </c>
      <c r="D19" s="19">
        <v>318.69</v>
      </c>
      <c r="E19" s="19">
        <v>-34.24</v>
      </c>
      <c r="F19" s="19"/>
      <c r="G19" s="19"/>
      <c r="H19" s="19">
        <v>-296.84</v>
      </c>
      <c r="I19" s="19">
        <f>D19+E19</f>
        <v>284.45</v>
      </c>
      <c r="J19" s="19">
        <f>AVERAGE(I16:I19)</f>
        <v>18.065</v>
      </c>
      <c r="K19" s="19">
        <f>-H19+K18</f>
        <v>385.9</v>
      </c>
    </row>
    <row r="20" ht="20.05" customHeight="1">
      <c r="B20" s="35">
        <v>2018</v>
      </c>
      <c r="C20" s="14">
        <v>322.28</v>
      </c>
      <c r="D20" s="19">
        <v>43.77</v>
      </c>
      <c r="E20" s="19">
        <v>-26.7</v>
      </c>
      <c r="F20" s="19"/>
      <c r="G20" s="19"/>
      <c r="H20" s="19">
        <v>-8.289999999999999</v>
      </c>
      <c r="I20" s="19">
        <f>D20+E20</f>
        <v>17.07</v>
      </c>
      <c r="J20" s="19">
        <f>AVERAGE(I17:I20)</f>
        <v>60.4175</v>
      </c>
      <c r="K20" s="19">
        <f>-H20+K19</f>
        <v>394.19</v>
      </c>
    </row>
    <row r="21" ht="20.05" customHeight="1">
      <c r="B21" s="33"/>
      <c r="C21" s="14">
        <v>267.72</v>
      </c>
      <c r="D21" s="19">
        <v>-39.48</v>
      </c>
      <c r="E21" s="19">
        <v>656.02</v>
      </c>
      <c r="F21" s="19"/>
      <c r="G21" s="19"/>
      <c r="H21" s="19">
        <v>-543.61</v>
      </c>
      <c r="I21" s="19">
        <f>D21+E21</f>
        <v>616.54</v>
      </c>
      <c r="J21" s="19">
        <f>AVERAGE(I18:I21)</f>
        <v>227.105</v>
      </c>
      <c r="K21" s="19">
        <f>-H21+K20</f>
        <v>937.8</v>
      </c>
    </row>
    <row r="22" ht="20.05" customHeight="1">
      <c r="B22" s="33"/>
      <c r="C22" s="14">
        <v>318.5</v>
      </c>
      <c r="D22" s="19">
        <v>229.31</v>
      </c>
      <c r="E22" s="19">
        <v>-76.42</v>
      </c>
      <c r="F22" s="19"/>
      <c r="G22" s="19"/>
      <c r="H22" s="19">
        <v>-148.99</v>
      </c>
      <c r="I22" s="19">
        <f>D22+E22</f>
        <v>152.89</v>
      </c>
      <c r="J22" s="19">
        <f>AVERAGE(I19:I22)</f>
        <v>267.7375</v>
      </c>
      <c r="K22" s="19">
        <f>-H22+K21</f>
        <v>1086.79</v>
      </c>
    </row>
    <row r="23" ht="20.05" customHeight="1">
      <c r="B23" s="33"/>
      <c r="C23" s="14">
        <v>996.3</v>
      </c>
      <c r="D23" s="19">
        <v>-207.15</v>
      </c>
      <c r="E23" s="19">
        <v>-119.6</v>
      </c>
      <c r="F23" s="19"/>
      <c r="G23" s="19"/>
      <c r="H23" s="19">
        <v>272.59</v>
      </c>
      <c r="I23" s="19">
        <f>D23+E23</f>
        <v>-326.75</v>
      </c>
      <c r="J23" s="19">
        <f>AVERAGE(I20:I23)</f>
        <v>114.9375</v>
      </c>
      <c r="K23" s="19">
        <f>-H23+K22</f>
        <v>814.2</v>
      </c>
    </row>
    <row r="24" ht="20.05" customHeight="1">
      <c r="B24" s="35">
        <v>2019</v>
      </c>
      <c r="C24" s="14">
        <v>524.27</v>
      </c>
      <c r="D24" s="19">
        <v>9.359999999999999</v>
      </c>
      <c r="E24" s="19">
        <v>-25.49</v>
      </c>
      <c r="F24" s="19"/>
      <c r="G24" s="19"/>
      <c r="H24" s="19">
        <v>36.59</v>
      </c>
      <c r="I24" s="19">
        <f>D24+E24</f>
        <v>-16.13</v>
      </c>
      <c r="J24" s="19">
        <f>AVERAGE(I21:I24)</f>
        <v>106.6375</v>
      </c>
      <c r="K24" s="19">
        <f>-H24+K23</f>
        <v>777.61</v>
      </c>
    </row>
    <row r="25" ht="20.05" customHeight="1">
      <c r="B25" s="33"/>
      <c r="C25" s="14">
        <v>447.18</v>
      </c>
      <c r="D25" s="19">
        <v>-8.16</v>
      </c>
      <c r="E25" s="19">
        <v>-29.21</v>
      </c>
      <c r="F25" s="19"/>
      <c r="G25" s="19"/>
      <c r="H25" s="19">
        <v>19.71</v>
      </c>
      <c r="I25" s="19">
        <f>D25+E25</f>
        <v>-37.37</v>
      </c>
      <c r="J25" s="19">
        <f>AVERAGE(I22:I25)</f>
        <v>-56.84</v>
      </c>
      <c r="K25" s="19">
        <f>-H25+K24</f>
        <v>757.9</v>
      </c>
    </row>
    <row r="26" ht="20.05" customHeight="1">
      <c r="B26" s="33"/>
      <c r="C26" s="14">
        <v>497.55</v>
      </c>
      <c r="D26" s="19">
        <v>-50.2</v>
      </c>
      <c r="E26" s="19">
        <v>-57.65</v>
      </c>
      <c r="F26" s="19"/>
      <c r="G26" s="19"/>
      <c r="H26" s="19">
        <v>114.88</v>
      </c>
      <c r="I26" s="19">
        <f>D26+E26</f>
        <v>-107.85</v>
      </c>
      <c r="J26" s="19">
        <f>AVERAGE(I23:I26)</f>
        <v>-122.025</v>
      </c>
      <c r="K26" s="19">
        <f>-H26+K25</f>
        <v>643.02</v>
      </c>
    </row>
    <row r="27" ht="20.05" customHeight="1">
      <c r="B27" s="33"/>
      <c r="C27" s="14">
        <v>569.5700000000001</v>
      </c>
      <c r="D27" s="19">
        <v>-7.33</v>
      </c>
      <c r="E27" s="19">
        <v>-38.55</v>
      </c>
      <c r="F27" s="19"/>
      <c r="G27" s="19"/>
      <c r="H27" s="19">
        <v>62.82</v>
      </c>
      <c r="I27" s="19">
        <f>D27+E27</f>
        <v>-45.88</v>
      </c>
      <c r="J27" s="19">
        <f>AVERAGE(I24:I27)</f>
        <v>-51.8075</v>
      </c>
      <c r="K27" s="19">
        <f>-H27+K26</f>
        <v>580.2</v>
      </c>
    </row>
    <row r="28" ht="20.05" customHeight="1">
      <c r="B28" s="35">
        <v>2020</v>
      </c>
      <c r="C28" s="14">
        <v>530</v>
      </c>
      <c r="D28" s="19">
        <v>-14.35</v>
      </c>
      <c r="E28" s="19">
        <v>-24.79</v>
      </c>
      <c r="F28" s="19"/>
      <c r="G28" s="19"/>
      <c r="H28" s="19">
        <v>11.8</v>
      </c>
      <c r="I28" s="19">
        <f>D28+E28</f>
        <v>-39.14</v>
      </c>
      <c r="J28" s="19">
        <f>AVERAGE(I25:I28)</f>
        <v>-57.56</v>
      </c>
      <c r="K28" s="19">
        <f>-H28+K27</f>
        <v>568.4</v>
      </c>
    </row>
    <row r="29" ht="20.05" customHeight="1">
      <c r="B29" s="33"/>
      <c r="C29" s="14">
        <v>571.9</v>
      </c>
      <c r="D29" s="19">
        <v>-20.8</v>
      </c>
      <c r="E29" s="19">
        <v>-23.1</v>
      </c>
      <c r="F29" s="19"/>
      <c r="G29" s="19"/>
      <c r="H29" s="19">
        <v>55.4</v>
      </c>
      <c r="I29" s="19">
        <f>D29+E29</f>
        <v>-43.9</v>
      </c>
      <c r="J29" s="19">
        <f>AVERAGE(I26:I29)</f>
        <v>-59.1925</v>
      </c>
      <c r="K29" s="19">
        <f>-H29+K28</f>
        <v>513</v>
      </c>
    </row>
    <row r="30" ht="20.05" customHeight="1">
      <c r="B30" s="33"/>
      <c r="C30" s="14">
        <f>1719.2-SUM(C28:C29)</f>
        <v>617.3</v>
      </c>
      <c r="D30" s="19">
        <f>-8.8-SUM(D28:D29)</f>
        <v>26.35</v>
      </c>
      <c r="E30" s="19">
        <f>-96.1-SUM(E28:E29)</f>
        <v>-48.21</v>
      </c>
      <c r="F30" s="19"/>
      <c r="G30" s="19"/>
      <c r="H30" s="19">
        <f>113.8-SUM(H28:H29)</f>
        <v>46.6</v>
      </c>
      <c r="I30" s="19">
        <f>D30+E30</f>
        <v>-21.86</v>
      </c>
      <c r="J30" s="19">
        <f>AVERAGE(I27:I30)</f>
        <v>-37.695</v>
      </c>
      <c r="K30" s="19">
        <f>-H30+K29</f>
        <v>466.4</v>
      </c>
    </row>
    <row r="31" ht="20.05" customHeight="1">
      <c r="B31" s="33"/>
      <c r="C31" s="14">
        <f>2494.3-SUM(C28:C30)</f>
        <v>775.1</v>
      </c>
      <c r="D31" s="19">
        <f>20.7-SUM(D28:D30)</f>
        <v>29.5</v>
      </c>
      <c r="E31" s="19">
        <f>-163.6-SUM(E28:E30)</f>
        <v>-67.5</v>
      </c>
      <c r="F31" s="19"/>
      <c r="G31" s="19"/>
      <c r="H31" s="19">
        <f>151.2-SUM(H28:H30)</f>
        <v>37.4</v>
      </c>
      <c r="I31" s="19">
        <f>D31+E31</f>
        <v>-38</v>
      </c>
      <c r="J31" s="19">
        <f>AVERAGE(I28:I31)</f>
        <v>-35.725</v>
      </c>
      <c r="K31" s="19">
        <f>-H31+K30</f>
        <v>429</v>
      </c>
    </row>
    <row r="32" ht="20.05" customHeight="1">
      <c r="B32" s="35">
        <v>2021</v>
      </c>
      <c r="C32" s="18">
        <v>798.3</v>
      </c>
      <c r="D32" s="19">
        <f>-18.4</f>
        <v>-18.4</v>
      </c>
      <c r="E32" s="19">
        <v>-61.8</v>
      </c>
      <c r="F32" s="19">
        <v>130.1</v>
      </c>
      <c r="G32" s="19"/>
      <c r="H32" s="19">
        <v>130.1</v>
      </c>
      <c r="I32" s="19">
        <f>D32+E32</f>
        <v>-80.2</v>
      </c>
      <c r="J32" s="19">
        <f>AVERAGE(I29:I32)</f>
        <v>-45.99</v>
      </c>
      <c r="K32" s="19">
        <f>-H32+K31</f>
        <v>298.9</v>
      </c>
    </row>
    <row r="33" ht="20.05" customHeight="1">
      <c r="B33" s="33"/>
      <c r="C33" s="18">
        <f>1752.7-C32</f>
        <v>954.4</v>
      </c>
      <c r="D33" s="19">
        <f>-35.4-D32</f>
        <v>-17</v>
      </c>
      <c r="E33" s="19">
        <f>-111.4-E32</f>
        <v>-49.6</v>
      </c>
      <c r="F33" s="19">
        <f>190.3-F32</f>
        <v>60.2</v>
      </c>
      <c r="G33" s="19"/>
      <c r="H33" s="19">
        <f>190.3-H32</f>
        <v>60.2</v>
      </c>
      <c r="I33" s="19">
        <f>D33+E33</f>
        <v>-66.59999999999999</v>
      </c>
      <c r="J33" s="19">
        <f>AVERAGE(I30:I33)</f>
        <v>-51.665</v>
      </c>
      <c r="K33" s="19">
        <f>-H33+K32</f>
        <v>238.7</v>
      </c>
    </row>
    <row r="34" ht="20.05" customHeight="1">
      <c r="B34" s="33"/>
      <c r="C34" s="18">
        <f>2848.2-C33-C32</f>
        <v>1095.5</v>
      </c>
      <c r="D34" s="19">
        <f>-27.6-D33-D32</f>
        <v>7.8</v>
      </c>
      <c r="E34" s="19">
        <f>-124.3-E33-E32</f>
        <v>-12.9</v>
      </c>
      <c r="F34" s="19">
        <f>265-F33-F32</f>
        <v>74.7</v>
      </c>
      <c r="G34" s="19"/>
      <c r="H34" s="19">
        <f>265.1-H33-H32</f>
        <v>74.8</v>
      </c>
      <c r="I34" s="19">
        <f>D34+E34</f>
        <v>-5.1</v>
      </c>
      <c r="J34" s="19">
        <f>AVERAGE(I31:I34)</f>
        <v>-47.475</v>
      </c>
      <c r="K34" s="19">
        <f>-H34+K33</f>
        <v>163.9</v>
      </c>
    </row>
    <row r="35" ht="20.05" customHeight="1">
      <c r="B35" s="33"/>
      <c r="C35" s="18"/>
      <c r="D35" s="19"/>
      <c r="E35" s="19"/>
      <c r="F35" s="19"/>
      <c r="G35" s="19"/>
      <c r="H35" s="19"/>
      <c r="I35" s="19"/>
      <c r="J35" s="19">
        <f>SUM('Model'!F9:F10)</f>
        <v>37.9371395157</v>
      </c>
      <c r="K35" s="19">
        <f>'Model'!F32</f>
        <v>302.572477220430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0156" style="44" customWidth="1"/>
    <col min="2" max="2" width="6.75" style="44" customWidth="1"/>
    <col min="3" max="5" width="12.6484" style="44" customWidth="1"/>
    <col min="6" max="11" width="9.39844" style="44" customWidth="1"/>
    <col min="12" max="16384" width="16.3516" style="44" customWidth="1"/>
  </cols>
  <sheetData>
    <row r="1" ht="36.85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" customHeight="1">
      <c r="B3" t="s" s="26">
        <v>42</v>
      </c>
      <c r="C3" t="s" s="26">
        <v>54</v>
      </c>
      <c r="D3" t="s" s="26">
        <v>55</v>
      </c>
      <c r="E3" t="s" s="26">
        <v>56</v>
      </c>
      <c r="F3" t="s" s="26">
        <v>23</v>
      </c>
      <c r="G3" t="s" s="26">
        <v>11</v>
      </c>
      <c r="H3" t="s" s="26">
        <v>12</v>
      </c>
      <c r="I3" t="s" s="26">
        <v>26</v>
      </c>
      <c r="J3" t="s" s="26">
        <v>57</v>
      </c>
      <c r="K3" t="s" s="26">
        <v>34</v>
      </c>
    </row>
    <row r="4" ht="20" customHeight="1">
      <c r="B4" s="27">
        <v>2015</v>
      </c>
      <c r="C4" s="45">
        <v>102</v>
      </c>
      <c r="D4" s="30">
        <v>16839</v>
      </c>
      <c r="E4" s="30">
        <f>D4-C4</f>
        <v>16737</v>
      </c>
      <c r="F4" s="30">
        <f>688+1078+1</f>
        <v>1767</v>
      </c>
      <c r="G4" s="30">
        <v>12775</v>
      </c>
      <c r="H4" s="30">
        <v>4064</v>
      </c>
      <c r="I4" s="30">
        <f>G4+H4-C4-E4</f>
        <v>0</v>
      </c>
      <c r="J4" s="30">
        <f>C4-G4</f>
        <v>-12673</v>
      </c>
      <c r="K4" s="30"/>
    </row>
    <row r="5" ht="20" customHeight="1">
      <c r="B5" s="33"/>
      <c r="C5" s="18">
        <v>68</v>
      </c>
      <c r="D5" s="19">
        <v>16952</v>
      </c>
      <c r="E5" s="19">
        <f>D5-C5</f>
        <v>16884</v>
      </c>
      <c r="F5" s="19">
        <f>713+1097+2</f>
        <v>1812</v>
      </c>
      <c r="G5" s="19">
        <v>13140</v>
      </c>
      <c r="H5" s="19">
        <v>3812</v>
      </c>
      <c r="I5" s="19">
        <f>G5+H5-C5-E5</f>
        <v>0</v>
      </c>
      <c r="J5" s="19">
        <f>C5-G5</f>
        <v>-13072</v>
      </c>
      <c r="K5" s="19"/>
    </row>
    <row r="6" ht="20" customHeight="1">
      <c r="B6" s="33"/>
      <c r="C6" s="18">
        <v>66</v>
      </c>
      <c r="D6" s="19">
        <v>17260</v>
      </c>
      <c r="E6" s="19">
        <f>D6-C6</f>
        <v>17194</v>
      </c>
      <c r="F6" s="19">
        <f>738+1116+2</f>
        <v>1856</v>
      </c>
      <c r="G6" s="19">
        <v>14277</v>
      </c>
      <c r="H6" s="19">
        <v>2983</v>
      </c>
      <c r="I6" s="19">
        <f>G6+H6-C6-E6</f>
        <v>0</v>
      </c>
      <c r="J6" s="19">
        <f>C6-G6</f>
        <v>-14211</v>
      </c>
      <c r="K6" s="19"/>
    </row>
    <row r="7" ht="20" customHeight="1">
      <c r="B7" s="33"/>
      <c r="C7" s="18">
        <v>44</v>
      </c>
      <c r="D7" s="19">
        <v>15308</v>
      </c>
      <c r="E7" s="19">
        <f>D7-C7</f>
        <v>15264</v>
      </c>
      <c r="F7" s="19">
        <f>2+1135+763</f>
        <v>1900</v>
      </c>
      <c r="G7" s="19">
        <v>13640</v>
      </c>
      <c r="H7" s="19">
        <v>1668</v>
      </c>
      <c r="I7" s="19">
        <f>G7+H7-C7-E7</f>
        <v>0</v>
      </c>
      <c r="J7" s="19">
        <f>C7-G7</f>
        <v>-13596</v>
      </c>
      <c r="K7" s="19"/>
    </row>
    <row r="8" ht="20" customHeight="1">
      <c r="B8" s="35">
        <v>2016</v>
      </c>
      <c r="C8" s="18">
        <v>52</v>
      </c>
      <c r="D8" s="19">
        <v>16628</v>
      </c>
      <c r="E8" s="19">
        <f>D8-C8</f>
        <v>16576</v>
      </c>
      <c r="F8" s="19">
        <f>788+1155+2</f>
        <v>1945</v>
      </c>
      <c r="G8" s="19">
        <v>13124</v>
      </c>
      <c r="H8" s="19">
        <v>3504</v>
      </c>
      <c r="I8" s="19">
        <f>G8+H8-C8-E8</f>
        <v>0</v>
      </c>
      <c r="J8" s="19">
        <f>C8-G8</f>
        <v>-13072</v>
      </c>
      <c r="K8" s="19"/>
    </row>
    <row r="9" ht="20" customHeight="1">
      <c r="B9" s="33"/>
      <c r="C9" s="18">
        <v>69</v>
      </c>
      <c r="D9" s="19">
        <v>16711</v>
      </c>
      <c r="E9" s="19">
        <f>D9-C9</f>
        <v>16642</v>
      </c>
      <c r="F9" s="19">
        <f>814+1173+2</f>
        <v>1989</v>
      </c>
      <c r="G9" s="19">
        <v>13320</v>
      </c>
      <c r="H9" s="19">
        <v>3391</v>
      </c>
      <c r="I9" s="19">
        <f>G9+H9-C9-E9</f>
        <v>0</v>
      </c>
      <c r="J9" s="19">
        <f>C9-G9</f>
        <v>-13251</v>
      </c>
      <c r="K9" s="19"/>
    </row>
    <row r="10" ht="20" customHeight="1">
      <c r="B10" s="33"/>
      <c r="C10" s="18">
        <v>100</v>
      </c>
      <c r="D10" s="19">
        <v>16315</v>
      </c>
      <c r="E10" s="19">
        <f>D10-C10</f>
        <v>16215</v>
      </c>
      <c r="F10" s="19">
        <f>2+1192+840</f>
        <v>2034</v>
      </c>
      <c r="G10" s="19">
        <v>13079</v>
      </c>
      <c r="H10" s="19">
        <v>3236</v>
      </c>
      <c r="I10" s="19">
        <f>G10+H10-C10-E10</f>
        <v>0</v>
      </c>
      <c r="J10" s="19">
        <f>C10-G10</f>
        <v>-12979</v>
      </c>
      <c r="K10" s="19"/>
    </row>
    <row r="11" ht="20" customHeight="1">
      <c r="B11" s="33"/>
      <c r="C11" s="18">
        <v>61</v>
      </c>
      <c r="D11" s="19">
        <v>14833</v>
      </c>
      <c r="E11" s="19">
        <f>D11-C11</f>
        <v>14772</v>
      </c>
      <c r="F11" s="19">
        <f>867+1235+2</f>
        <v>2104</v>
      </c>
      <c r="G11" s="19">
        <v>13504</v>
      </c>
      <c r="H11" s="19">
        <v>1329</v>
      </c>
      <c r="I11" s="19">
        <f>G11+H11-C11-E11</f>
        <v>0</v>
      </c>
      <c r="J11" s="19">
        <f>C11-G11</f>
        <v>-13443</v>
      </c>
      <c r="K11" s="19"/>
    </row>
    <row r="12" ht="20" customHeight="1">
      <c r="B12" s="35">
        <v>2017</v>
      </c>
      <c r="C12" s="18">
        <v>64</v>
      </c>
      <c r="D12" s="19">
        <v>14288</v>
      </c>
      <c r="E12" s="19">
        <f>D12-C12</f>
        <v>14224</v>
      </c>
      <c r="F12" s="19">
        <f>1244+843+3</f>
        <v>2090</v>
      </c>
      <c r="G12" s="19">
        <v>13448</v>
      </c>
      <c r="H12" s="19">
        <v>840</v>
      </c>
      <c r="I12" s="19">
        <f>G12+H12-C12-E12</f>
        <v>0</v>
      </c>
      <c r="J12" s="19">
        <f>C12-G12</f>
        <v>-13384</v>
      </c>
      <c r="K12" s="19"/>
    </row>
    <row r="13" ht="20" customHeight="1">
      <c r="B13" s="33"/>
      <c r="C13" s="18">
        <v>48</v>
      </c>
      <c r="D13" s="19">
        <v>14390</v>
      </c>
      <c r="E13" s="19">
        <f>D13-C13</f>
        <v>14342</v>
      </c>
      <c r="F13" s="19">
        <f>868+1260+3</f>
        <v>2131</v>
      </c>
      <c r="G13" s="19">
        <v>13667</v>
      </c>
      <c r="H13" s="19">
        <v>723</v>
      </c>
      <c r="I13" s="19">
        <f>G13+H13-C13-E13</f>
        <v>0</v>
      </c>
      <c r="J13" s="19">
        <f>C13-G13</f>
        <v>-13619</v>
      </c>
      <c r="K13" s="19"/>
    </row>
    <row r="14" ht="20" customHeight="1">
      <c r="B14" s="33"/>
      <c r="C14" s="18">
        <v>35</v>
      </c>
      <c r="D14" s="19">
        <v>14466</v>
      </c>
      <c r="E14" s="19">
        <f>D14-C14</f>
        <v>14431</v>
      </c>
      <c r="F14" s="19">
        <f>892+1641+3</f>
        <v>2536</v>
      </c>
      <c r="G14" s="19">
        <v>13958</v>
      </c>
      <c r="H14" s="19">
        <v>508</v>
      </c>
      <c r="I14" s="19">
        <f>G14+H14-C14-E14</f>
        <v>0</v>
      </c>
      <c r="J14" s="19">
        <f>C14-G14</f>
        <v>-13923</v>
      </c>
      <c r="K14" s="19"/>
    </row>
    <row r="15" ht="20" customHeight="1">
      <c r="B15" s="33"/>
      <c r="C15" s="18">
        <v>22</v>
      </c>
      <c r="D15" s="19">
        <v>14049</v>
      </c>
      <c r="E15" s="19">
        <f>D15-C15</f>
        <v>14027</v>
      </c>
      <c r="F15" s="19">
        <f>924+1305+3</f>
        <v>2232</v>
      </c>
      <c r="G15" s="19">
        <v>14361</v>
      </c>
      <c r="H15" s="19">
        <v>-312</v>
      </c>
      <c r="I15" s="19">
        <f>G15+H15-C15-E15</f>
        <v>0</v>
      </c>
      <c r="J15" s="19">
        <f>C15-G15</f>
        <v>-14339</v>
      </c>
      <c r="K15" s="19"/>
    </row>
    <row r="16" ht="20" customHeight="1">
      <c r="B16" s="35">
        <v>2018</v>
      </c>
      <c r="C16" s="18">
        <v>41</v>
      </c>
      <c r="D16" s="19">
        <v>13985</v>
      </c>
      <c r="E16" s="19">
        <f>D16-C16</f>
        <v>13944</v>
      </c>
      <c r="F16" s="19">
        <f>1320+946+3</f>
        <v>2269</v>
      </c>
      <c r="G16" s="19">
        <v>14843</v>
      </c>
      <c r="H16" s="19">
        <v>-858</v>
      </c>
      <c r="I16" s="19">
        <f>G16+H16-C16-E16</f>
        <v>0</v>
      </c>
      <c r="J16" s="19">
        <f>C16-G16</f>
        <v>-14802</v>
      </c>
      <c r="K16" s="19"/>
    </row>
    <row r="17" ht="20" customHeight="1">
      <c r="B17" s="33"/>
      <c r="C17" s="18">
        <v>89</v>
      </c>
      <c r="D17" s="19">
        <v>13867</v>
      </c>
      <c r="E17" s="19">
        <f>D17-C17</f>
        <v>13778</v>
      </c>
      <c r="F17" s="19">
        <f>1336+966+3</f>
        <v>2305</v>
      </c>
      <c r="G17" s="19">
        <v>14950</v>
      </c>
      <c r="H17" s="19">
        <v>-1083</v>
      </c>
      <c r="I17" s="19">
        <f>G17+H17-C17-E17</f>
        <v>0</v>
      </c>
      <c r="J17" s="19">
        <f>C17-G17</f>
        <v>-14861</v>
      </c>
      <c r="K17" s="19"/>
    </row>
    <row r="18" ht="20" customHeight="1">
      <c r="B18" s="33"/>
      <c r="C18" s="18">
        <v>72</v>
      </c>
      <c r="D18" s="19">
        <v>14010</v>
      </c>
      <c r="E18" s="19">
        <f>D18-C18</f>
        <v>13938</v>
      </c>
      <c r="F18" s="19">
        <f>1353+976+3</f>
        <v>2332</v>
      </c>
      <c r="G18" s="19">
        <v>15280</v>
      </c>
      <c r="H18" s="19">
        <v>-1270</v>
      </c>
      <c r="I18" s="19">
        <f>G18+H18-C18-E18</f>
        <v>0</v>
      </c>
      <c r="J18" s="19">
        <f>C18-G18</f>
        <v>-15208</v>
      </c>
      <c r="K18" s="19"/>
    </row>
    <row r="19" ht="20" customHeight="1">
      <c r="B19" s="33"/>
      <c r="C19" s="18">
        <v>54</v>
      </c>
      <c r="D19" s="19">
        <v>13363</v>
      </c>
      <c r="E19" s="19">
        <f>D19-C19</f>
        <v>13309</v>
      </c>
      <c r="F19" s="19">
        <f>2441+3</f>
        <v>2444</v>
      </c>
      <c r="G19" s="19">
        <v>14798</v>
      </c>
      <c r="H19" s="19">
        <v>-1435</v>
      </c>
      <c r="I19" s="19">
        <f>G19+H19-C19-E19</f>
        <v>0</v>
      </c>
      <c r="J19" s="19">
        <f>C19-G19</f>
        <v>-14744</v>
      </c>
      <c r="K19" s="19"/>
    </row>
    <row r="20" ht="20" customHeight="1">
      <c r="B20" s="35">
        <v>2019</v>
      </c>
      <c r="C20" s="18">
        <v>61</v>
      </c>
      <c r="D20" s="19">
        <v>13330</v>
      </c>
      <c r="E20" s="19">
        <f>D20-C20</f>
        <v>13269</v>
      </c>
      <c r="F20" s="19">
        <f>2508</f>
        <v>2508</v>
      </c>
      <c r="G20" s="19">
        <v>14732</v>
      </c>
      <c r="H20" s="19">
        <v>-1402</v>
      </c>
      <c r="I20" s="19">
        <f>G20+H20-C20-E20</f>
        <v>0</v>
      </c>
      <c r="J20" s="19">
        <f>C20-G20</f>
        <v>-14671</v>
      </c>
      <c r="K20" s="19"/>
    </row>
    <row r="21" ht="20" customHeight="1">
      <c r="B21" s="33"/>
      <c r="C21" s="18">
        <v>56</v>
      </c>
      <c r="D21" s="19">
        <v>13175</v>
      </c>
      <c r="E21" s="19">
        <f>D21-C21</f>
        <v>13119</v>
      </c>
      <c r="F21" s="19">
        <f>2568+4</f>
        <v>2572</v>
      </c>
      <c r="G21" s="19">
        <v>14658</v>
      </c>
      <c r="H21" s="19">
        <v>-1483</v>
      </c>
      <c r="I21" s="19">
        <f>G21+H21-C21-E21</f>
        <v>0</v>
      </c>
      <c r="J21" s="19">
        <f>C21-G21</f>
        <v>-14602</v>
      </c>
      <c r="K21" s="19"/>
    </row>
    <row r="22" ht="20" customHeight="1">
      <c r="B22" s="33"/>
      <c r="C22" s="18">
        <v>63</v>
      </c>
      <c r="D22" s="19">
        <v>13265</v>
      </c>
      <c r="E22" s="19">
        <f>D22-C22</f>
        <v>13202</v>
      </c>
      <c r="F22" s="19">
        <f>4+2615</f>
        <v>2619</v>
      </c>
      <c r="G22" s="19">
        <v>14210</v>
      </c>
      <c r="H22" s="19">
        <v>-945</v>
      </c>
      <c r="I22" s="19">
        <f>G22+H22-C22-E22</f>
        <v>0</v>
      </c>
      <c r="J22" s="19">
        <f>C22-G22</f>
        <v>-14147</v>
      </c>
      <c r="K22" s="19"/>
    </row>
    <row r="23" ht="20" customHeight="1">
      <c r="B23" s="33"/>
      <c r="C23" s="18">
        <v>79</v>
      </c>
      <c r="D23" s="19">
        <v>8400</v>
      </c>
      <c r="E23" s="19">
        <f>D23-C23</f>
        <v>8321</v>
      </c>
      <c r="F23" s="19">
        <f>2403+4</f>
        <v>2407</v>
      </c>
      <c r="G23" s="19">
        <v>13846</v>
      </c>
      <c r="H23" s="19">
        <v>-5446</v>
      </c>
      <c r="I23" s="19">
        <f>G23+H23-C23-E23</f>
        <v>0</v>
      </c>
      <c r="J23" s="19">
        <f>C23-G23</f>
        <v>-13767</v>
      </c>
      <c r="K23" s="36"/>
    </row>
    <row r="24" ht="20" customHeight="1">
      <c r="B24" s="35">
        <v>2020</v>
      </c>
      <c r="C24" s="18">
        <v>58</v>
      </c>
      <c r="D24" s="19">
        <v>8683</v>
      </c>
      <c r="E24" s="19">
        <f>D24-C24</f>
        <v>8625</v>
      </c>
      <c r="F24" s="19">
        <f>2451+4</f>
        <v>2455</v>
      </c>
      <c r="G24" s="19">
        <v>16155</v>
      </c>
      <c r="H24" s="19">
        <v>-7472</v>
      </c>
      <c r="I24" s="19">
        <f>G24+H24-C24-E24</f>
        <v>0</v>
      </c>
      <c r="J24" s="19">
        <f>C24-G24</f>
        <v>-16097</v>
      </c>
      <c r="K24" s="36"/>
    </row>
    <row r="25" ht="20" customHeight="1">
      <c r="B25" s="33"/>
      <c r="C25" s="18">
        <v>64</v>
      </c>
      <c r="D25" s="19">
        <v>8477</v>
      </c>
      <c r="E25" s="19">
        <f>D25-C25</f>
        <v>8413</v>
      </c>
      <c r="F25" s="19">
        <f>2492+4</f>
        <v>2496</v>
      </c>
      <c r="G25" s="19">
        <v>14433</v>
      </c>
      <c r="H25" s="19">
        <v>-5956</v>
      </c>
      <c r="I25" s="19">
        <f>G25+H25-C25-E25</f>
        <v>0</v>
      </c>
      <c r="J25" s="19">
        <f>C25-G25</f>
        <v>-14369</v>
      </c>
      <c r="K25" s="36"/>
    </row>
    <row r="26" ht="20" customHeight="1">
      <c r="B26" s="33"/>
      <c r="C26" s="18">
        <v>91</v>
      </c>
      <c r="D26" s="19">
        <v>8590</v>
      </c>
      <c r="E26" s="19">
        <f>D26-C26</f>
        <v>8499</v>
      </c>
      <c r="F26" s="19">
        <f>2539+4</f>
        <v>2543</v>
      </c>
      <c r="G26" s="19">
        <v>15094</v>
      </c>
      <c r="H26" s="19">
        <v>-6504</v>
      </c>
      <c r="I26" s="19">
        <f>G26+H26-C26-E26</f>
        <v>0</v>
      </c>
      <c r="J26" s="19">
        <f>C26-G26</f>
        <v>-15003</v>
      </c>
      <c r="K26" s="19"/>
    </row>
    <row r="27" ht="20" customHeight="1">
      <c r="B27" s="33"/>
      <c r="C27" s="18">
        <v>87</v>
      </c>
      <c r="D27" s="19">
        <v>7576</v>
      </c>
      <c r="E27" s="19">
        <f>D27-C27</f>
        <v>7489</v>
      </c>
      <c r="F27" s="19">
        <f>2718+1173+5</f>
        <v>3896</v>
      </c>
      <c r="G27" s="19">
        <v>14586</v>
      </c>
      <c r="H27" s="19">
        <v>-7010</v>
      </c>
      <c r="I27" s="19">
        <f>G27+H27-C27-E27</f>
        <v>0</v>
      </c>
      <c r="J27" s="19">
        <f>C27-G27</f>
        <v>-14499</v>
      </c>
      <c r="K27" s="36"/>
    </row>
    <row r="28" ht="20" customHeight="1">
      <c r="B28" s="35">
        <v>2021</v>
      </c>
      <c r="C28" s="18">
        <v>138</v>
      </c>
      <c r="D28" s="19">
        <v>7785</v>
      </c>
      <c r="E28" s="19">
        <f>D28-C28</f>
        <v>7647</v>
      </c>
      <c r="F28" s="19">
        <f>2754+1173+5</f>
        <v>3932</v>
      </c>
      <c r="G28" s="19">
        <v>15219</v>
      </c>
      <c r="H28" s="19">
        <v>-7434</v>
      </c>
      <c r="I28" s="19">
        <f>G28+H28-C28-E28</f>
        <v>0</v>
      </c>
      <c r="J28" s="19">
        <f>C28-G28</f>
        <v>-15081</v>
      </c>
      <c r="K28" s="36"/>
    </row>
    <row r="29" ht="20" customHeight="1">
      <c r="B29" s="33"/>
      <c r="C29" s="18">
        <v>131</v>
      </c>
      <c r="D29" s="19">
        <v>7921</v>
      </c>
      <c r="E29" s="19">
        <f>D29-C29</f>
        <v>7790</v>
      </c>
      <c r="F29" s="19">
        <f>2433+1173+5</f>
        <v>3611</v>
      </c>
      <c r="G29" s="19">
        <v>15280</v>
      </c>
      <c r="H29" s="19">
        <v>-7359</v>
      </c>
      <c r="I29" s="19">
        <f>G29+H29-C29-E29</f>
        <v>0</v>
      </c>
      <c r="J29" s="19">
        <f>C29-G29</f>
        <v>-15149</v>
      </c>
      <c r="K29" s="36"/>
    </row>
    <row r="30" ht="20" customHeight="1">
      <c r="B30" s="33"/>
      <c r="C30" s="18">
        <v>200.89</v>
      </c>
      <c r="D30" s="19">
        <v>8007.6</v>
      </c>
      <c r="E30" s="19">
        <f>D30-C30</f>
        <v>7806.71</v>
      </c>
      <c r="F30" s="19">
        <f>2293+1173</f>
        <v>3466</v>
      </c>
      <c r="G30" s="19">
        <v>15099.6</v>
      </c>
      <c r="H30" s="19">
        <v>-7092</v>
      </c>
      <c r="I30" s="19">
        <f>G30+H30-C30-E30</f>
        <v>0</v>
      </c>
      <c r="J30" s="19">
        <f>C30-G30</f>
        <v>-14898.71</v>
      </c>
      <c r="K30" s="19">
        <f>J30</f>
        <v>-14898.71</v>
      </c>
    </row>
    <row r="31" ht="20" customHeight="1">
      <c r="B31" s="33"/>
      <c r="C31" s="18"/>
      <c r="D31" s="19"/>
      <c r="E31" s="19"/>
      <c r="F31" s="19"/>
      <c r="G31" s="19"/>
      <c r="H31" s="19"/>
      <c r="I31" s="19"/>
      <c r="J31" s="19"/>
      <c r="K31" s="19">
        <f>'Model'!F30</f>
        <v>-14760.9336646343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9219" style="46" customWidth="1"/>
    <col min="2" max="2" width="6.86719" style="46" customWidth="1"/>
    <col min="3" max="4" width="8.32031" style="46" customWidth="1"/>
    <col min="5" max="16384" width="16.3516" style="46" customWidth="1"/>
  </cols>
  <sheetData>
    <row r="1" ht="32.1" customHeight="1"/>
    <row r="2" ht="27.65" customHeight="1">
      <c r="B2" t="s" s="2">
        <v>58</v>
      </c>
      <c r="C2" s="2"/>
      <c r="D2" s="2"/>
    </row>
    <row r="3" ht="20.25" customHeight="1">
      <c r="B3" s="4"/>
      <c r="C3" t="s" s="47">
        <v>59</v>
      </c>
      <c r="D3" t="s" s="47">
        <v>60</v>
      </c>
    </row>
    <row r="4" ht="20.25" customHeight="1">
      <c r="B4" s="27">
        <v>2018</v>
      </c>
      <c r="C4" s="48">
        <v>296</v>
      </c>
      <c r="D4" s="49"/>
    </row>
    <row r="5" ht="20.05" customHeight="1">
      <c r="B5" s="33"/>
      <c r="C5" s="50">
        <v>230</v>
      </c>
      <c r="D5" s="51"/>
    </row>
    <row r="6" ht="20.05" customHeight="1">
      <c r="B6" s="33"/>
      <c r="C6" s="50">
        <v>206</v>
      </c>
      <c r="D6" s="51"/>
    </row>
    <row r="7" ht="20.05" customHeight="1">
      <c r="B7" s="33"/>
      <c r="C7" s="50">
        <v>107</v>
      </c>
      <c r="D7" s="51"/>
    </row>
    <row r="8" ht="20.05" customHeight="1">
      <c r="B8" s="35">
        <v>2019</v>
      </c>
      <c r="C8" s="50">
        <v>118</v>
      </c>
      <c r="D8" s="51"/>
    </row>
    <row r="9" ht="20.05" customHeight="1">
      <c r="B9" s="33"/>
      <c r="C9" s="50">
        <v>89</v>
      </c>
      <c r="D9" s="51"/>
    </row>
    <row r="10" ht="20.05" customHeight="1">
      <c r="B10" s="33"/>
      <c r="C10" s="50">
        <v>92</v>
      </c>
      <c r="D10" s="51"/>
    </row>
    <row r="11" ht="20.05" customHeight="1">
      <c r="B11" s="33"/>
      <c r="C11" s="50">
        <v>101</v>
      </c>
      <c r="D11" s="51"/>
    </row>
    <row r="12" ht="20.05" customHeight="1">
      <c r="B12" s="35">
        <v>2020</v>
      </c>
      <c r="C12" s="50">
        <v>51</v>
      </c>
      <c r="D12" s="51"/>
    </row>
    <row r="13" ht="20.05" customHeight="1">
      <c r="B13" s="33"/>
      <c r="C13" s="50">
        <v>59</v>
      </c>
      <c r="D13" s="23"/>
    </row>
    <row r="14" ht="20.05" customHeight="1">
      <c r="B14" s="33"/>
      <c r="C14" s="52">
        <v>80</v>
      </c>
      <c r="D14" s="23"/>
    </row>
    <row r="15" ht="20.05" customHeight="1">
      <c r="B15" s="33"/>
      <c r="C15" s="52">
        <v>114</v>
      </c>
      <c r="D15" s="23"/>
    </row>
    <row r="16" ht="20.05" customHeight="1">
      <c r="B16" s="35">
        <v>2021</v>
      </c>
      <c r="C16" s="52">
        <v>115</v>
      </c>
      <c r="D16" s="23"/>
    </row>
    <row r="17" ht="20.05" customHeight="1">
      <c r="B17" s="33"/>
      <c r="C17" s="52">
        <v>107</v>
      </c>
      <c r="D17" s="23"/>
    </row>
    <row r="18" ht="20.05" customHeight="1">
      <c r="B18" s="33"/>
      <c r="C18" s="52">
        <v>117</v>
      </c>
      <c r="D18" s="23"/>
    </row>
    <row r="19" ht="20.05" customHeight="1">
      <c r="B19" s="33"/>
      <c r="C19" s="52">
        <v>109</v>
      </c>
      <c r="D19" s="36">
        <f>C19</f>
        <v>109</v>
      </c>
    </row>
    <row r="20" ht="20.05" customHeight="1">
      <c r="B20" s="33"/>
      <c r="C20" s="52"/>
      <c r="D20" s="36">
        <f>'Model'!F42</f>
        <v>166.406972664516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