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<sst xmlns="http://schemas.openxmlformats.org/spreadsheetml/2006/main" uniqueCount="54">
  <si>
    <t>Financial model</t>
  </si>
  <si>
    <t>Rpbn</t>
  </si>
  <si>
    <t>4Q 2021</t>
  </si>
  <si>
    <t>Cashflow</t>
  </si>
  <si>
    <t xml:space="preserve">Growth </t>
  </si>
  <si>
    <t>Sales</t>
  </si>
  <si>
    <t>Cost ratio</t>
  </si>
  <si>
    <t>Cash costs</t>
  </si>
  <si>
    <t xml:space="preserve">Operating </t>
  </si>
  <si>
    <t xml:space="preserve">Investment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</si>
  <si>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</si>
  <si>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</si>
  <si>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</si>
  <si>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</si>
  <si>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</si>
  <si>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</si>
  <si>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</si>
  <si>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</si>
  <si>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>Profit</t>
  </si>
  <si>
    <t xml:space="preserve">Non cash costs </t>
  </si>
  <si>
    <t xml:space="preserve">Balance sheet 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</si>
  <si>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</si>
  <si>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</si>
  <si>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</si>
  <si>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</si>
  <si>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</si>
  <si>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</si>
  <si>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</si>
  <si>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</si>
  <si>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</si>
  <si>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</si>
  <si>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</si>
  <si>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</si>
  <si>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</si>
  <si>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</si>
  <si>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</si>
  <si>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</si>
  <si>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</si>
  <si>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</si>
  <si>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</si>
  <si>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Growth</t>
  </si>
  <si>
    <t>Cashflow costs</t>
  </si>
  <si>
    <t>Receipts</t>
  </si>
  <si>
    <t>PPE</t>
  </si>
  <si>
    <t>Free cashflow</t>
  </si>
  <si>
    <t>Balance sheet</t>
  </si>
  <si>
    <t>Cash</t>
  </si>
  <si>
    <t>Assets</t>
  </si>
  <si>
    <t>Equity</t>
  </si>
  <si>
    <t>Check</t>
  </si>
  <si>
    <t>Net cash</t>
  </si>
  <si>
    <t>Share price</t>
  </si>
  <si>
    <t>ULTJ</t>
  </si>
  <si>
    <t xml:space="preserve">Target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</si>
</sst>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611279</xdr:colOff>
      <xdr:row>1</xdr:row>
      <xdr:rowOff>343910</xdr:rowOff>
    </xdr:from>
    <xdr:to>
      <xdr:col>13</xdr:col>
      <xdr:colOff>634138</xdr:colOff>
      <xdr:row>46</xdr:row>
      <xdr:rowOff>61614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1779" y="437890"/>
          <a:ext cx="8735060" cy="112778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2812" style="1" customWidth="1"/>
    <col min="2" max="2" width="14.7656" style="1" customWidth="1"/>
    <col min="3" max="6" width="8.89844" style="1" customWidth="1"/>
    <col min="7" max="16384" width="16.3516" style="1" customWidth="1"/>
  </cols>
  <sheetData>
    <row r="1" ht="7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AVERAGE('Sales'!D14:D17)</f>
        <v>0.0491647532239694</v>
      </c>
      <c r="D4" s="9"/>
      <c r="E4" s="9"/>
      <c r="F4" s="10">
        <f>AVERAGE(C5:F5)</f>
        <v>0.025</v>
      </c>
    </row>
    <row r="5" ht="20.05" customHeight="1">
      <c r="B5" t="s" s="11">
        <v>4</v>
      </c>
      <c r="C5" s="12">
        <v>0.05</v>
      </c>
      <c r="D5" s="13">
        <v>0</v>
      </c>
      <c r="E5" s="13">
        <v>0.02</v>
      </c>
      <c r="F5" s="13">
        <v>0.03</v>
      </c>
    </row>
    <row r="6" ht="20.05" customHeight="1">
      <c r="B6" t="s" s="11">
        <v>5</v>
      </c>
      <c r="C6" s="14">
        <f>'Sales'!B17*(1+C5)</f>
        <v>1818.285</v>
      </c>
      <c r="D6" s="15">
        <f>C6*(1+D5)</f>
        <v>1818.285</v>
      </c>
      <c r="E6" s="15">
        <f>D6*(1+E5)</f>
        <v>1854.6507</v>
      </c>
      <c r="F6" s="15">
        <f>E6*(1+F5)</f>
        <v>1910.290221</v>
      </c>
    </row>
    <row r="7" ht="20.05" customHeight="1">
      <c r="B7" t="s" s="11">
        <v>6</v>
      </c>
      <c r="C7" s="12">
        <f>AVERAGE('Sales'!G16)</f>
        <v>-0.791463954002654</v>
      </c>
      <c r="D7" s="13">
        <f>C7</f>
        <v>-0.791463954002654</v>
      </c>
      <c r="E7" s="13">
        <f>D7</f>
        <v>-0.791463954002654</v>
      </c>
      <c r="F7" s="13">
        <f>E7</f>
        <v>-0.791463954002654</v>
      </c>
    </row>
    <row r="8" ht="20.05" customHeight="1">
      <c r="B8" t="s" s="11">
        <v>7</v>
      </c>
      <c r="C8" s="14">
        <f>C6*C7</f>
        <v>-1439.107035603720</v>
      </c>
      <c r="D8" s="16">
        <f>D6*D7</f>
        <v>-1439.107035603720</v>
      </c>
      <c r="E8" s="16">
        <f>E6*E7</f>
        <v>-1467.889176315790</v>
      </c>
      <c r="F8" s="16">
        <f>F6*F7</f>
        <v>-1511.925851605260</v>
      </c>
    </row>
    <row r="9" ht="20.05" customHeight="1">
      <c r="B9" t="s" s="11">
        <v>8</v>
      </c>
      <c r="C9" s="14">
        <f>C6+C8</f>
        <v>379.177964396280</v>
      </c>
      <c r="D9" s="16">
        <f>D6+D8</f>
        <v>379.177964396280</v>
      </c>
      <c r="E9" s="16">
        <f>E6+E8</f>
        <v>386.761523684210</v>
      </c>
      <c r="F9" s="16">
        <f>F6+F8</f>
        <v>398.364369394740</v>
      </c>
    </row>
    <row r="10" ht="20.05" customHeight="1">
      <c r="B10" t="s" s="11">
        <v>9</v>
      </c>
      <c r="C10" s="14">
        <f>AVERAGE('Cashflow'!E14:E17)</f>
        <v>-66</v>
      </c>
      <c r="D10" s="16">
        <f>C10</f>
        <v>-66</v>
      </c>
      <c r="E10" s="16">
        <f>D10</f>
        <v>-66</v>
      </c>
      <c r="F10" s="16">
        <f>E10</f>
        <v>-66</v>
      </c>
    </row>
    <row r="11" ht="20.05" customHeight="1">
      <c r="B11" t="s" s="11">
        <v>10</v>
      </c>
      <c r="C11" s="14">
        <f>C12+C13+C15</f>
        <v>-311.353389318884</v>
      </c>
      <c r="D11" s="16">
        <f>D12+D13+D15</f>
        <v>-300.783389318884</v>
      </c>
      <c r="E11" s="16">
        <f>E12+E13+E15</f>
        <v>-293.016957105263</v>
      </c>
      <c r="F11" s="16">
        <f>F12+F13+F15</f>
        <v>-286.958385818422</v>
      </c>
    </row>
    <row r="12" ht="20.05" customHeight="1">
      <c r="B12" t="s" s="11">
        <v>11</v>
      </c>
      <c r="C12" s="14">
        <f>-'Balance sheet'!F13/20</f>
        <v>-211.4</v>
      </c>
      <c r="D12" s="16">
        <f>-C26/20</f>
        <v>-200.83</v>
      </c>
      <c r="E12" s="16">
        <f>-D26/20</f>
        <v>-190.7885</v>
      </c>
      <c r="F12" s="16">
        <f>-E26/20</f>
        <v>-181.249075</v>
      </c>
    </row>
    <row r="13" ht="20.05" customHeight="1">
      <c r="B13" t="s" s="11">
        <v>12</v>
      </c>
      <c r="C13" s="14">
        <f>IF(C21&gt;0,-C21*0.3,0)</f>
        <v>-99.95338931888401</v>
      </c>
      <c r="D13" s="16">
        <f>IF(D21&gt;0,-D21*0.3,0)</f>
        <v>-99.95338931888401</v>
      </c>
      <c r="E13" s="16">
        <f>IF(E21&gt;0,-E21*0.3,0)</f>
        <v>-102.228457105263</v>
      </c>
      <c r="F13" s="16">
        <f>IF(F21&gt;0,-F21*0.3,0)</f>
        <v>-105.709310818422</v>
      </c>
    </row>
    <row r="14" ht="20.05" customHeight="1">
      <c r="B14" t="s" s="11">
        <v>13</v>
      </c>
      <c r="C14" s="14">
        <f>C9+C10+C12+C13</f>
        <v>1.824575077396</v>
      </c>
      <c r="D14" s="16">
        <f>D9+D10+D12+D13</f>
        <v>12.394575077396</v>
      </c>
      <c r="E14" s="16">
        <f>E9+E10+E12+E13</f>
        <v>27.744566578947</v>
      </c>
      <c r="F14" s="16">
        <f>F9+F10+F12+F13</f>
        <v>45.405983576318</v>
      </c>
    </row>
    <row r="15" ht="20.05" customHeight="1">
      <c r="B15" t="s" s="11">
        <v>14</v>
      </c>
      <c r="C15" s="17">
        <f>-MIN(C14,0)</f>
        <v>0</v>
      </c>
      <c r="D15" s="18">
        <f>-MIN(C27,0)</f>
        <v>0</v>
      </c>
      <c r="E15" s="18">
        <f>-MIN(D27,0)</f>
        <v>0</v>
      </c>
      <c r="F15" s="18">
        <f>-MIN(E27,0)</f>
        <v>0</v>
      </c>
    </row>
    <row r="16" ht="20.05" customHeight="1">
      <c r="B16" t="s" s="11">
        <v>15</v>
      </c>
      <c r="C16" s="14">
        <f>'Balance sheet'!B13</f>
        <v>2736</v>
      </c>
      <c r="D16" s="16">
        <f>C18</f>
        <v>2737.8245750774</v>
      </c>
      <c r="E16" s="16">
        <f>D18</f>
        <v>2750.2191501548</v>
      </c>
      <c r="F16" s="16">
        <f>E18</f>
        <v>2777.963716733750</v>
      </c>
    </row>
    <row r="17" ht="20.05" customHeight="1">
      <c r="B17" t="s" s="11">
        <v>16</v>
      </c>
      <c r="C17" s="14">
        <f>C9+C10+C11</f>
        <v>1.824575077396</v>
      </c>
      <c r="D17" s="16">
        <f>D9+D10+D11</f>
        <v>12.394575077396</v>
      </c>
      <c r="E17" s="16">
        <f>E9+E10+E11</f>
        <v>27.744566578947</v>
      </c>
      <c r="F17" s="16">
        <f>F9+F10+F11</f>
        <v>45.405983576318</v>
      </c>
    </row>
    <row r="18" ht="20.05" customHeight="1">
      <c r="B18" t="s" s="11">
        <v>17</v>
      </c>
      <c r="C18" s="14">
        <f>C16+C17</f>
        <v>2737.8245750774</v>
      </c>
      <c r="D18" s="16">
        <f>D16+D17</f>
        <v>2750.2191501548</v>
      </c>
      <c r="E18" s="16">
        <f>E16+E17</f>
        <v>2777.963716733750</v>
      </c>
      <c r="F18" s="16">
        <f>F16+F17</f>
        <v>2823.369700310070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1">
        <v>19</v>
      </c>
      <c r="C20" s="14">
        <f>-'Cashflow'!C17</f>
        <v>-46</v>
      </c>
      <c r="D20" s="16">
        <f>C20</f>
        <v>-46</v>
      </c>
      <c r="E20" s="16">
        <f>D20</f>
        <v>-46</v>
      </c>
      <c r="F20" s="16">
        <f>E20</f>
        <v>-46</v>
      </c>
    </row>
    <row r="21" ht="20.05" customHeight="1">
      <c r="B21" t="s" s="11">
        <v>18</v>
      </c>
      <c r="C21" s="14">
        <f>C6+C8+C20</f>
        <v>333.177964396280</v>
      </c>
      <c r="D21" s="16">
        <f>D6+D8+D20</f>
        <v>333.177964396280</v>
      </c>
      <c r="E21" s="16">
        <f>E6+E8+E20</f>
        <v>340.761523684210</v>
      </c>
      <c r="F21" s="16">
        <f>F6+F8+F20</f>
        <v>352.364369394740</v>
      </c>
    </row>
    <row r="22" ht="20.05" customHeight="1">
      <c r="B22" t="s" s="19">
        <v>20</v>
      </c>
      <c r="C22" s="17"/>
      <c r="D22" s="18"/>
      <c r="E22" s="18"/>
      <c r="F22" s="16"/>
    </row>
    <row r="23" ht="20.05" customHeight="1">
      <c r="B23" t="s" s="11">
        <v>21</v>
      </c>
      <c r="C23" s="14">
        <f>'Balance sheet'!D13+'Balance sheet'!E13-C10</f>
        <v>8340</v>
      </c>
      <c r="D23" s="16">
        <f>C23-D10</f>
        <v>8406</v>
      </c>
      <c r="E23" s="16">
        <f>D23-E10</f>
        <v>8472</v>
      </c>
      <c r="F23" s="16">
        <f>E23-F10</f>
        <v>8538</v>
      </c>
    </row>
    <row r="24" ht="20.05" customHeight="1">
      <c r="B24" t="s" s="11">
        <v>22</v>
      </c>
      <c r="C24" s="14">
        <f>'Balance sheet'!E13-C20</f>
        <v>2042</v>
      </c>
      <c r="D24" s="16">
        <f>C24-D20</f>
        <v>2088</v>
      </c>
      <c r="E24" s="16">
        <f>D24-E20</f>
        <v>2134</v>
      </c>
      <c r="F24" s="16">
        <f>E24-F20</f>
        <v>2180</v>
      </c>
    </row>
    <row r="25" ht="20.05" customHeight="1">
      <c r="B25" t="s" s="11">
        <v>23</v>
      </c>
      <c r="C25" s="14">
        <f>C23-C24</f>
        <v>6298</v>
      </c>
      <c r="D25" s="16">
        <f>D23-D24</f>
        <v>6318</v>
      </c>
      <c r="E25" s="16">
        <f>E23-E24</f>
        <v>6338</v>
      </c>
      <c r="F25" s="16">
        <f>F23-F24</f>
        <v>6358</v>
      </c>
    </row>
    <row r="26" ht="20.05" customHeight="1">
      <c r="B26" t="s" s="11">
        <v>11</v>
      </c>
      <c r="C26" s="14">
        <f>'Balance sheet'!F13+C12</f>
        <v>4016.6</v>
      </c>
      <c r="D26" s="16">
        <f>C26+D12</f>
        <v>3815.77</v>
      </c>
      <c r="E26" s="16">
        <f>D26+E12</f>
        <v>3624.9815</v>
      </c>
      <c r="F26" s="16">
        <f>E26+F12</f>
        <v>3443.732425</v>
      </c>
    </row>
    <row r="27" ht="20.05" customHeight="1">
      <c r="B27" t="s" s="11">
        <v>14</v>
      </c>
      <c r="C27" s="21">
        <f>C15</f>
        <v>0</v>
      </c>
      <c r="D27" s="22">
        <f>C27+D15</f>
        <v>0</v>
      </c>
      <c r="E27" s="22">
        <f>D27+E15</f>
        <v>0</v>
      </c>
      <c r="F27" s="22">
        <f>E27+F15</f>
        <v>0</v>
      </c>
    </row>
    <row r="28" ht="20.05" customHeight="1">
      <c r="B28" t="s" s="11">
        <v>12</v>
      </c>
      <c r="C28" s="14">
        <f>'Balance sheet'!G13+C21+C13</f>
        <v>5019.2245750774</v>
      </c>
      <c r="D28" s="16">
        <f>C28+D21+D13</f>
        <v>5252.4491501548</v>
      </c>
      <c r="E28" s="16">
        <f>D28+E21+E13</f>
        <v>5490.982216733750</v>
      </c>
      <c r="F28" s="16">
        <f>E28+F21+F13</f>
        <v>5737.637275310070</v>
      </c>
    </row>
    <row r="29" ht="20.05" customHeight="1">
      <c r="B29" t="s" s="11">
        <v>24</v>
      </c>
      <c r="C29" s="14">
        <f>C26+C27+C28-C18-C25</f>
        <v>0</v>
      </c>
      <c r="D29" s="16">
        <f>D26+D27+D28-D18-D25</f>
        <v>0</v>
      </c>
      <c r="E29" s="16">
        <f>E26+E27+E28-E18-E25</f>
        <v>0</v>
      </c>
      <c r="F29" s="16">
        <f>F26+F27+F28-F18-F25</f>
        <v>0</v>
      </c>
    </row>
    <row r="30" ht="20.05" customHeight="1">
      <c r="B30" t="s" s="11">
        <v>25</v>
      </c>
      <c r="C30" s="14">
        <f>C18-C26-C27</f>
        <v>-1278.7754249226</v>
      </c>
      <c r="D30" s="16">
        <f>D18-D26-D27</f>
        <v>-1065.5508498452</v>
      </c>
      <c r="E30" s="16">
        <f>E18-E26-E27</f>
        <v>-847.017783266250</v>
      </c>
      <c r="F30" s="16">
        <f>F18-F26-F27</f>
        <v>-620.362724689930</v>
      </c>
    </row>
    <row r="31" ht="20.05" customHeight="1">
      <c r="B31" t="s" s="19">
        <v>26</v>
      </c>
      <c r="C31" s="14"/>
      <c r="D31" s="16"/>
      <c r="E31" s="16"/>
      <c r="F31" s="16"/>
    </row>
    <row r="32" ht="20.05" customHeight="1">
      <c r="B32" t="s" s="11">
        <v>27</v>
      </c>
      <c r="C32" s="14">
        <f>'Cashflow'!K17-C11</f>
        <v>601.853389318884</v>
      </c>
      <c r="D32" s="16">
        <f>C32-D11</f>
        <v>902.636778637768</v>
      </c>
      <c r="E32" s="16">
        <f>D32-E11</f>
        <v>1195.653735743030</v>
      </c>
      <c r="F32" s="16">
        <f>E32-F11</f>
        <v>1482.612121561450</v>
      </c>
    </row>
    <row r="33" ht="20.05" customHeight="1">
      <c r="B33" t="s" s="11">
        <v>28</v>
      </c>
      <c r="C33" s="14"/>
      <c r="D33" s="16"/>
      <c r="E33" s="16"/>
      <c r="F33" s="16">
        <v>17730</v>
      </c>
    </row>
    <row r="34" ht="20.05" customHeight="1">
      <c r="B34" t="s" s="11">
        <v>29</v>
      </c>
      <c r="C34" s="14"/>
      <c r="D34" s="16"/>
      <c r="E34" s="16"/>
      <c r="F34" s="23">
        <f>F33/(F18+F25)</f>
        <v>1.93108442190289</v>
      </c>
    </row>
    <row r="35" ht="20.05" customHeight="1">
      <c r="B35" t="s" s="11">
        <v>30</v>
      </c>
      <c r="C35" s="14"/>
      <c r="D35" s="16"/>
      <c r="E35" s="16"/>
      <c r="F35" s="24">
        <f>-(C13+D13+E13+F13)/F33</f>
        <v>0.0230030765122083</v>
      </c>
    </row>
    <row r="36" ht="20.05" customHeight="1">
      <c r="B36" t="s" s="11">
        <v>3</v>
      </c>
      <c r="C36" s="14"/>
      <c r="D36" s="16"/>
      <c r="E36" s="16"/>
      <c r="F36" s="16">
        <f>SUM(C9:F10)</f>
        <v>1279.481821871510</v>
      </c>
    </row>
    <row r="37" ht="20.05" customHeight="1">
      <c r="B37" t="s" s="11">
        <v>31</v>
      </c>
      <c r="C37" s="14"/>
      <c r="D37" s="16"/>
      <c r="E37" s="16"/>
      <c r="F37" s="16">
        <f>'Balance sheet'!D13/F36</f>
        <v>4.90667385240152</v>
      </c>
    </row>
    <row r="38" ht="20.05" customHeight="1">
      <c r="B38" t="s" s="11">
        <v>26</v>
      </c>
      <c r="C38" s="14"/>
      <c r="D38" s="16"/>
      <c r="E38" s="16"/>
      <c r="F38" s="16">
        <f>F33/F36</f>
        <v>13.8571722528001</v>
      </c>
    </row>
    <row r="39" ht="20.05" customHeight="1">
      <c r="B39" t="s" s="11">
        <v>32</v>
      </c>
      <c r="C39" s="14"/>
      <c r="D39" s="16"/>
      <c r="E39" s="16"/>
      <c r="F39" s="16">
        <v>17</v>
      </c>
    </row>
    <row r="40" ht="20.05" customHeight="1">
      <c r="B40" t="s" s="11">
        <v>33</v>
      </c>
      <c r="C40" s="14"/>
      <c r="D40" s="16"/>
      <c r="E40" s="16"/>
      <c r="F40" s="16">
        <f>F36*F39</f>
        <v>21751.1909718157</v>
      </c>
    </row>
    <row r="41" ht="20.05" customHeight="1">
      <c r="B41" t="s" s="11">
        <v>34</v>
      </c>
      <c r="C41" s="14"/>
      <c r="D41" s="16"/>
      <c r="E41" s="16"/>
      <c r="F41" s="16">
        <f>F33/F43</f>
        <v>10.3988269794721</v>
      </c>
    </row>
    <row r="42" ht="20.05" customHeight="1">
      <c r="B42" t="s" s="11">
        <v>35</v>
      </c>
      <c r="C42" s="14"/>
      <c r="D42" s="16"/>
      <c r="E42" s="16"/>
      <c r="F42" s="16">
        <f>F40/F41</f>
        <v>2091.696593736370</v>
      </c>
    </row>
    <row r="43" ht="20.05" customHeight="1">
      <c r="B43" t="s" s="11">
        <v>36</v>
      </c>
      <c r="C43" s="14"/>
      <c r="D43" s="16"/>
      <c r="E43" s="16"/>
      <c r="F43" s="16">
        <f>'Share price'!B49</f>
        <v>1705</v>
      </c>
    </row>
    <row r="44" ht="20.05" customHeight="1">
      <c r="B44" t="s" s="11">
        <v>37</v>
      </c>
      <c r="C44" s="14"/>
      <c r="D44" s="16"/>
      <c r="E44" s="16"/>
      <c r="F44" s="24">
        <f>F42/F43-1</f>
        <v>0.226801521253003</v>
      </c>
    </row>
    <row r="45" ht="20.05" customHeight="1">
      <c r="B45" t="s" s="11">
        <v>38</v>
      </c>
      <c r="C45" s="14"/>
      <c r="D45" s="16"/>
      <c r="E45" s="16"/>
      <c r="F45" s="24">
        <f>'Sales'!B17/'Sales'!B13-1</f>
        <v>0.206759581881533</v>
      </c>
    </row>
    <row r="46" ht="20.05" customHeight="1">
      <c r="B46" t="s" s="11">
        <v>39</v>
      </c>
      <c r="C46" s="14"/>
      <c r="D46" s="16"/>
      <c r="E46" s="16"/>
      <c r="F46" s="24">
        <f>('Sales'!C16+'Sales'!C17)/('Sales'!B16+'Sales'!B17)-1</f>
        <v>-0.0457008345816392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2:G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1.2891" style="25" customWidth="1"/>
    <col min="8" max="16384" width="16.3516" style="25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</row>
    <row r="2" ht="32.25" customHeight="1">
      <c r="A2" t="s" s="4">
        <v>1</v>
      </c>
      <c r="B2" t="s" s="4">
        <v>5</v>
      </c>
      <c r="C2" t="s" s="4">
        <v>32</v>
      </c>
      <c r="D2" t="s" s="4">
        <v>40</v>
      </c>
      <c r="E2" t="s" s="4">
        <v>6</v>
      </c>
      <c r="F2" t="s" s="4">
        <v>41</v>
      </c>
      <c r="G2" t="s" s="4">
        <v>41</v>
      </c>
    </row>
    <row r="3" ht="20.25" customHeight="1">
      <c r="A3" s="26">
        <v>2018</v>
      </c>
      <c r="B3" s="27">
        <v>1303</v>
      </c>
      <c r="C3" s="9"/>
      <c r="D3" s="10"/>
      <c r="E3" s="10">
        <f>('Cashflow'!B3+'Cashflow'!C3-B3)/B3</f>
        <v>-0.840368380660015</v>
      </c>
      <c r="F3" s="10">
        <f>AVERAGE(G2:G3)</f>
        <v>-0.957627118644068</v>
      </c>
      <c r="G3" s="10">
        <f>('Cashflow'!F3-'Cashflow'!D3)/'Cashflow'!D3</f>
        <v>-0.957627118644068</v>
      </c>
    </row>
    <row r="4" ht="20.05" customHeight="1">
      <c r="A4" s="28"/>
      <c r="B4" s="14">
        <v>1322</v>
      </c>
      <c r="C4" s="20"/>
      <c r="D4" s="13">
        <f>B4/B3-1</f>
        <v>0.0145817344589409</v>
      </c>
      <c r="E4" s="13">
        <f>('Cashflow'!B4+'Cashflow'!C4-B4)/B4</f>
        <v>-0.826021180030257</v>
      </c>
      <c r="F4" s="13">
        <f>AVERAGE(G2:G4)</f>
        <v>-0.892817638179954</v>
      </c>
      <c r="G4" s="13">
        <f>('Cashflow'!F4-'Cashflow'!D4)/'Cashflow'!D4</f>
        <v>-0.82800815771584</v>
      </c>
    </row>
    <row r="5" ht="20.05" customHeight="1">
      <c r="A5" s="28"/>
      <c r="B5" s="14">
        <v>1419</v>
      </c>
      <c r="C5" s="20"/>
      <c r="D5" s="13">
        <f>B5/B4-1</f>
        <v>0.07337367624810889</v>
      </c>
      <c r="E5" s="13">
        <f>('Cashflow'!B5+'Cashflow'!C5-B5)/B5</f>
        <v>-0.794221282593376</v>
      </c>
      <c r="F5" s="13">
        <f>AVERAGE(G2:G5)</f>
        <v>-0.849211320478505</v>
      </c>
      <c r="G5" s="13">
        <f>('Cashflow'!F5-'Cashflow'!D5)/'Cashflow'!D5</f>
        <v>-0.761998685075608</v>
      </c>
    </row>
    <row r="6" ht="20.05" customHeight="1">
      <c r="A6" s="28"/>
      <c r="B6" s="14">
        <v>1429</v>
      </c>
      <c r="C6" s="20"/>
      <c r="D6" s="13">
        <f>B6/B5-1</f>
        <v>0.00704721634954193</v>
      </c>
      <c r="E6" s="13">
        <f>('Cashflow'!B6+'Cashflow'!C6-B6)/B6</f>
        <v>-0.918824352694192</v>
      </c>
      <c r="F6" s="13">
        <f>AVERAGE(G3:G6)</f>
        <v>-0.902533490358879</v>
      </c>
      <c r="G6" s="13">
        <f>('Cashflow'!F6-'Cashflow'!D6)/'Cashflow'!D6</f>
        <v>-1.0625</v>
      </c>
    </row>
    <row r="7" ht="20.05" customHeight="1">
      <c r="A7" s="29">
        <v>2019</v>
      </c>
      <c r="B7" s="14">
        <v>1428</v>
      </c>
      <c r="C7" s="20"/>
      <c r="D7" s="13">
        <f>B7/B6-1</f>
        <v>-0.0006997900629811059</v>
      </c>
      <c r="E7" s="13">
        <f>('Cashflow'!B7+'Cashflow'!C7-B7)/B7</f>
        <v>-0.761729691876751</v>
      </c>
      <c r="F7" s="13">
        <f>AVERAGE(G4:G7)</f>
        <v>-0.862799913312241</v>
      </c>
      <c r="G7" s="13">
        <f>('Cashflow'!F7-'Cashflow'!D7)/'Cashflow'!D7</f>
        <v>-0.7986928104575159</v>
      </c>
    </row>
    <row r="8" ht="20.05" customHeight="1">
      <c r="A8" s="28"/>
      <c r="B8" s="14">
        <v>1545</v>
      </c>
      <c r="C8" s="20"/>
      <c r="D8" s="13">
        <f>B8/B7-1</f>
        <v>0.0819327731092437</v>
      </c>
      <c r="E8" s="13">
        <f>('Cashflow'!B8+'Cashflow'!C8-B8)/B8</f>
        <v>-0.840614886731392</v>
      </c>
      <c r="F8" s="13">
        <f>AVERAGE(G5:G8)</f>
        <v>-0.85226916574931</v>
      </c>
      <c r="G8" s="13">
        <f>('Cashflow'!F8-'Cashflow'!D8)/'Cashflow'!D8</f>
        <v>-0.785885167464115</v>
      </c>
    </row>
    <row r="9" ht="20.05" customHeight="1">
      <c r="A9" s="28"/>
      <c r="B9" s="14">
        <v>1612</v>
      </c>
      <c r="C9" s="20"/>
      <c r="D9" s="13">
        <f>B9/B8-1</f>
        <v>0.0433656957928803</v>
      </c>
      <c r="E9" s="13">
        <f>('Cashflow'!B9+'Cashflow'!C9-B9)/B9</f>
        <v>-0.787065756823821</v>
      </c>
      <c r="F9" s="13">
        <f>AVERAGE(G6:G9)</f>
        <v>-0.91592660457215</v>
      </c>
      <c r="G9" s="13">
        <f>('Cashflow'!F9-'Cashflow'!D9)/'Cashflow'!D9</f>
        <v>-1.01662844036697</v>
      </c>
    </row>
    <row r="10" ht="20.05" customHeight="1">
      <c r="A10" s="28"/>
      <c r="B10" s="14">
        <v>1638</v>
      </c>
      <c r="C10" s="20"/>
      <c r="D10" s="13">
        <f>B10/B9-1</f>
        <v>0.0161290322580645</v>
      </c>
      <c r="E10" s="13">
        <f>('Cashflow'!B10+'Cashflow'!C10-B10)/B10</f>
        <v>-0.846611721611722</v>
      </c>
      <c r="F10" s="13">
        <f>AVERAGE(G7:G10)</f>
        <v>-0.8375971334707329</v>
      </c>
      <c r="G10" s="13">
        <f>('Cashflow'!F10-'Cashflow'!D10)/'Cashflow'!D10</f>
        <v>-0.749182115594329</v>
      </c>
    </row>
    <row r="11" ht="20.05" customHeight="1">
      <c r="A11" s="29">
        <v>2020</v>
      </c>
      <c r="B11" s="14">
        <v>1614</v>
      </c>
      <c r="C11" s="20"/>
      <c r="D11" s="13">
        <f>B11/B10-1</f>
        <v>-0.0146520146520147</v>
      </c>
      <c r="E11" s="13">
        <f>('Cashflow'!B11+'Cashflow'!C11-B11)/B11</f>
        <v>-0.700123915737299</v>
      </c>
      <c r="F11" s="13">
        <f>AVERAGE(G8:G11)</f>
        <v>-0.88720595268289</v>
      </c>
      <c r="G11" s="13">
        <f>('Cashflow'!F11-'Cashflow'!D11)/'Cashflow'!D11</f>
        <v>-0.997128087306146</v>
      </c>
    </row>
    <row r="12" ht="20.05" customHeight="1">
      <c r="A12" s="28"/>
      <c r="B12" s="14">
        <v>1405</v>
      </c>
      <c r="C12" s="20"/>
      <c r="D12" s="13">
        <f>B12/B11-1</f>
        <v>-0.129491945477076</v>
      </c>
      <c r="E12" s="13">
        <f>('Cashflow'!B12+'Cashflow'!C12-B12)/B12</f>
        <v>-0.881850533807829</v>
      </c>
      <c r="F12" s="13">
        <f>AVERAGE(G9:G12)</f>
        <v>-0.914372622152538</v>
      </c>
      <c r="G12" s="13">
        <f>('Cashflow'!F12-'Cashflow'!D12)/'Cashflow'!D12</f>
        <v>-0.894551845342707</v>
      </c>
    </row>
    <row r="13" ht="20.05" customHeight="1">
      <c r="A13" s="28"/>
      <c r="B13" s="14">
        <v>1435</v>
      </c>
      <c r="C13" s="20"/>
      <c r="D13" s="13">
        <f>B13/B12-1</f>
        <v>0.0213523131672598</v>
      </c>
      <c r="E13" s="13">
        <f>('Cashflow'!B13+'Cashflow'!C13-B13)/B13</f>
        <v>-0.673170731707317</v>
      </c>
      <c r="F13" s="13">
        <f>AVERAGE(G10:G13)</f>
        <v>-0.786620006442818</v>
      </c>
      <c r="G13" s="13">
        <f>('Cashflow'!F13-'Cashflow'!D13)/'Cashflow'!D13</f>
        <v>-0.50561797752809</v>
      </c>
    </row>
    <row r="14" ht="20.05" customHeight="1">
      <c r="A14" s="28"/>
      <c r="B14" s="14">
        <v>1513</v>
      </c>
      <c r="C14" s="20"/>
      <c r="D14" s="13">
        <f>B14/B13-1</f>
        <v>0.0543554006968641</v>
      </c>
      <c r="E14" s="13">
        <f>('Cashflow'!B14+'Cashflow'!C14-B14)/B14</f>
        <v>-0.889623265036352</v>
      </c>
      <c r="F14" s="13">
        <f>AVERAGE(G11:G14)</f>
        <v>-0.806031794617407</v>
      </c>
      <c r="G14" s="13">
        <f>('Cashflow'!F14-'Cashflow'!D14)/'Cashflow'!D14</f>
        <v>-0.826829268292683</v>
      </c>
    </row>
    <row r="15" ht="20.05" customHeight="1">
      <c r="A15" s="29">
        <v>2021</v>
      </c>
      <c r="B15" s="14">
        <v>1521</v>
      </c>
      <c r="C15" s="20"/>
      <c r="D15" s="13">
        <f>B15/B14-1</f>
        <v>0.00528750826173166</v>
      </c>
      <c r="E15" s="13">
        <f>('Cashflow'!B15+'Cashflow'!C15-B15)/B15</f>
        <v>-0.702827087442472</v>
      </c>
      <c r="F15" s="13">
        <f>AVERAGE(G12:G15)</f>
        <v>-0.741986976286501</v>
      </c>
      <c r="G15" s="13">
        <f>('Cashflow'!F15-'Cashflow'!D15)/'Cashflow'!D15</f>
        <v>-0.740948813982522</v>
      </c>
    </row>
    <row r="16" ht="20.05" customHeight="1">
      <c r="A16" s="28"/>
      <c r="B16" s="14">
        <f>3060.4-B15</f>
        <v>1539.4</v>
      </c>
      <c r="C16" s="16">
        <v>1551.42</v>
      </c>
      <c r="D16" s="13">
        <f>B16/B15-1</f>
        <v>0.0120973044049967</v>
      </c>
      <c r="E16" s="13">
        <f>('Cashflow'!B16+'Cashflow'!C16-B16)/B16</f>
        <v>-0.803754709627127</v>
      </c>
      <c r="F16" s="13">
        <f>AVERAGE(G13:G16)</f>
        <v>-0.716215003451487</v>
      </c>
      <c r="G16" s="13">
        <f>('Cashflow'!F16-'Cashflow'!D16)/'Cashflow'!D16</f>
        <v>-0.791463954002654</v>
      </c>
    </row>
    <row r="17" ht="20.05" customHeight="1">
      <c r="A17" s="28"/>
      <c r="B17" s="14">
        <f>4792.1-SUM(B15:B16)</f>
        <v>1731.7</v>
      </c>
      <c r="C17" s="16">
        <v>1570.188</v>
      </c>
      <c r="D17" s="13">
        <f>B17/B16-1</f>
        <v>0.124918799532285</v>
      </c>
      <c r="E17" s="13">
        <f>('Cashflow'!B17+'Cashflow'!C17-B17)/B17</f>
        <v>-0.828030259282786</v>
      </c>
      <c r="F17" s="13">
        <f>AVERAGE(G14:G17)</f>
        <v>-0.782869959434019</v>
      </c>
      <c r="G17" s="13">
        <f>('Cashflow'!F17-'Cashflow'!D17)/'Cashflow'!D17</f>
        <v>-0.772237801458216</v>
      </c>
    </row>
    <row r="18" ht="20.05" customHeight="1">
      <c r="A18" s="28"/>
      <c r="B18" s="14"/>
      <c r="C18" s="16">
        <f>'Model'!C6</f>
        <v>1818.285</v>
      </c>
      <c r="D18" s="13"/>
      <c r="E18" s="13">
        <f>'Model'!C7</f>
        <v>-0.791463954002654</v>
      </c>
      <c r="F18" s="13"/>
      <c r="G18" s="13"/>
    </row>
    <row r="19" ht="20.05" customHeight="1">
      <c r="A19" s="29">
        <v>2022</v>
      </c>
      <c r="B19" s="14"/>
      <c r="C19" s="15">
        <f>'Model'!D6</f>
        <v>1818.285</v>
      </c>
      <c r="D19" s="13"/>
      <c r="E19" s="13"/>
      <c r="F19" s="13"/>
      <c r="G19" s="13"/>
    </row>
    <row r="20" ht="20.05" customHeight="1">
      <c r="A20" s="28"/>
      <c r="B20" s="14"/>
      <c r="C20" s="15">
        <f>'Model'!E6</f>
        <v>1854.6507</v>
      </c>
      <c r="D20" s="13"/>
      <c r="E20" s="13"/>
      <c r="F20" s="13"/>
      <c r="G20" s="13"/>
    </row>
    <row r="21" ht="20.05" customHeight="1">
      <c r="A21" s="28"/>
      <c r="B21" s="14"/>
      <c r="C21" s="15">
        <f>'Model'!F6</f>
        <v>1910.290221</v>
      </c>
      <c r="D21" s="13"/>
      <c r="E21" s="13"/>
      <c r="F21" s="13"/>
      <c r="G21" s="13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1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0234" style="30" customWidth="1"/>
    <col min="2" max="11" width="8.97656" style="30" customWidth="1"/>
    <col min="12" max="16384" width="16.3516" style="30" customWidth="1"/>
  </cols>
  <sheetData>
    <row r="1" ht="27.65" customHeight="1">
      <c r="A1" t="s" s="2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A2" t="s" s="4">
        <v>1</v>
      </c>
      <c r="B2" t="s" s="4">
        <v>18</v>
      </c>
      <c r="C2" t="s" s="4">
        <v>19</v>
      </c>
      <c r="D2" t="s" s="4">
        <v>42</v>
      </c>
      <c r="E2" t="s" s="4">
        <v>43</v>
      </c>
      <c r="F2" t="s" s="4">
        <v>8</v>
      </c>
      <c r="G2" t="s" s="4">
        <v>9</v>
      </c>
      <c r="H2" t="s" s="4">
        <v>10</v>
      </c>
      <c r="I2" t="s" s="4">
        <v>44</v>
      </c>
      <c r="J2" t="s" s="4">
        <v>3</v>
      </c>
      <c r="K2" t="s" s="4">
        <v>27</v>
      </c>
    </row>
    <row r="3" ht="20.25" customHeight="1">
      <c r="A3" s="26">
        <v>2018</v>
      </c>
      <c r="B3" s="27">
        <v>172</v>
      </c>
      <c r="C3" s="31">
        <v>36</v>
      </c>
      <c r="D3" s="31">
        <v>1416</v>
      </c>
      <c r="E3" s="31">
        <v>-229</v>
      </c>
      <c r="F3" s="31">
        <v>60</v>
      </c>
      <c r="G3" s="31">
        <v>-244</v>
      </c>
      <c r="H3" s="31">
        <v>70</v>
      </c>
      <c r="I3" s="31">
        <f>F3+E3</f>
        <v>-169</v>
      </c>
      <c r="J3" s="31"/>
      <c r="K3" s="31">
        <f>163+75-H3</f>
        <v>168</v>
      </c>
    </row>
    <row r="4" ht="20.05" customHeight="1">
      <c r="A4" s="28"/>
      <c r="B4" s="14">
        <v>194</v>
      </c>
      <c r="C4" s="16">
        <v>36</v>
      </c>
      <c r="D4" s="16">
        <v>1471</v>
      </c>
      <c r="E4" s="16">
        <v>-35</v>
      </c>
      <c r="F4" s="16">
        <v>253</v>
      </c>
      <c r="G4" s="16">
        <v>-31</v>
      </c>
      <c r="H4" s="16">
        <v>-11</v>
      </c>
      <c r="I4" s="16">
        <f>F4+E4</f>
        <v>218</v>
      </c>
      <c r="J4" s="16">
        <f>AVERAGE(I2:I4)</f>
        <v>24.5</v>
      </c>
      <c r="K4" s="16">
        <f>K3-H4</f>
        <v>179</v>
      </c>
    </row>
    <row r="5" ht="20.05" customHeight="1">
      <c r="A5" s="28"/>
      <c r="B5" s="14">
        <v>256</v>
      </c>
      <c r="C5" s="16">
        <v>36</v>
      </c>
      <c r="D5" s="16">
        <v>1521</v>
      </c>
      <c r="E5" s="16">
        <v>-47</v>
      </c>
      <c r="F5" s="16">
        <v>362</v>
      </c>
      <c r="G5" s="16">
        <v>-42</v>
      </c>
      <c r="H5" s="16">
        <v>-194</v>
      </c>
      <c r="I5" s="16">
        <f>F5+E5</f>
        <v>315</v>
      </c>
      <c r="J5" s="16">
        <f>AVERAGE(I2:I5)</f>
        <v>121.333333333333</v>
      </c>
      <c r="K5" s="16">
        <f>K4-H5</f>
        <v>373</v>
      </c>
    </row>
    <row r="6" ht="20.05" customHeight="1">
      <c r="A6" s="28"/>
      <c r="B6" s="14">
        <v>80</v>
      </c>
      <c r="C6" s="16">
        <v>36</v>
      </c>
      <c r="D6" s="16">
        <v>1584</v>
      </c>
      <c r="E6" s="16">
        <v>-25</v>
      </c>
      <c r="F6" s="16">
        <v>-99</v>
      </c>
      <c r="G6" s="16">
        <v>-772</v>
      </c>
      <c r="H6" s="16">
        <v>-28</v>
      </c>
      <c r="I6" s="16">
        <f>F6+E6</f>
        <v>-124</v>
      </c>
      <c r="J6" s="16">
        <f>AVERAGE(I3:I6)</f>
        <v>60</v>
      </c>
      <c r="K6" s="16">
        <f>K5-H6</f>
        <v>401</v>
      </c>
    </row>
    <row r="7" ht="20.05" customHeight="1">
      <c r="A7" s="29">
        <v>2019</v>
      </c>
      <c r="B7" s="14">
        <v>304</v>
      </c>
      <c r="C7" s="16">
        <v>36.25</v>
      </c>
      <c r="D7" s="16">
        <v>1530</v>
      </c>
      <c r="E7" s="16">
        <v>-44</v>
      </c>
      <c r="F7" s="16">
        <v>308</v>
      </c>
      <c r="G7" s="16">
        <v>-32</v>
      </c>
      <c r="H7" s="16">
        <v>-70</v>
      </c>
      <c r="I7" s="16">
        <f>F7+E7</f>
        <v>264</v>
      </c>
      <c r="J7" s="16">
        <f>AVERAGE(I4:I7)</f>
        <v>168.25</v>
      </c>
      <c r="K7" s="16">
        <f>K6-H7</f>
        <v>471</v>
      </c>
    </row>
    <row r="8" ht="20.05" customHeight="1">
      <c r="A8" s="28"/>
      <c r="B8" s="14">
        <v>210</v>
      </c>
      <c r="C8" s="16">
        <v>36.25</v>
      </c>
      <c r="D8" s="16">
        <v>1672</v>
      </c>
      <c r="E8" s="16">
        <v>-65</v>
      </c>
      <c r="F8" s="16">
        <v>358</v>
      </c>
      <c r="G8" s="16">
        <v>-70</v>
      </c>
      <c r="H8" s="16">
        <v>-11</v>
      </c>
      <c r="I8" s="16">
        <f>F8+E8</f>
        <v>293</v>
      </c>
      <c r="J8" s="16">
        <f>AVERAGE(I5:I8)</f>
        <v>187</v>
      </c>
      <c r="K8" s="16">
        <f>K7-H8</f>
        <v>482</v>
      </c>
    </row>
    <row r="9" ht="20.05" customHeight="1">
      <c r="A9" s="28"/>
      <c r="B9" s="14">
        <v>307</v>
      </c>
      <c r="C9" s="16">
        <v>36.25</v>
      </c>
      <c r="D9" s="16">
        <v>1744</v>
      </c>
      <c r="E9" s="16">
        <v>-60</v>
      </c>
      <c r="F9" s="16">
        <v>-29</v>
      </c>
      <c r="G9" s="16">
        <v>-59</v>
      </c>
      <c r="H9" s="16">
        <v>-157</v>
      </c>
      <c r="I9" s="16">
        <f>F9+E9</f>
        <v>-89</v>
      </c>
      <c r="J9" s="16">
        <f>AVERAGE(I6:I9)</f>
        <v>86</v>
      </c>
      <c r="K9" s="16">
        <f>K8-H9</f>
        <v>639</v>
      </c>
    </row>
    <row r="10" ht="20.05" customHeight="1">
      <c r="A10" s="28"/>
      <c r="B10" s="14">
        <v>215</v>
      </c>
      <c r="C10" s="16">
        <v>36.25</v>
      </c>
      <c r="D10" s="16">
        <v>1834</v>
      </c>
      <c r="E10" s="16">
        <v>-74</v>
      </c>
      <c r="F10" s="16">
        <v>460</v>
      </c>
      <c r="G10" s="16">
        <v>-104</v>
      </c>
      <c r="H10" s="16">
        <v>2</v>
      </c>
      <c r="I10" s="16">
        <f>F10+E10</f>
        <v>386</v>
      </c>
      <c r="J10" s="16">
        <f>AVERAGE(I7:I10)</f>
        <v>213.5</v>
      </c>
      <c r="K10" s="16">
        <f>K9-H10</f>
        <v>637</v>
      </c>
    </row>
    <row r="11" ht="20.05" customHeight="1">
      <c r="A11" s="29">
        <v>2020</v>
      </c>
      <c r="B11" s="14">
        <v>440</v>
      </c>
      <c r="C11" s="16">
        <v>44</v>
      </c>
      <c r="D11" s="16">
        <v>1741</v>
      </c>
      <c r="E11" s="16">
        <v>-106</v>
      </c>
      <c r="F11" s="16">
        <v>5</v>
      </c>
      <c r="G11" s="16">
        <v>-116</v>
      </c>
      <c r="H11" s="16">
        <v>-38</v>
      </c>
      <c r="I11" s="16">
        <f>F11+E11</f>
        <v>-101</v>
      </c>
      <c r="J11" s="16">
        <f>AVERAGE(I8:I11)</f>
        <v>122.25</v>
      </c>
      <c r="K11" s="16">
        <f>K10-H11</f>
        <v>675</v>
      </c>
    </row>
    <row r="12" ht="20.05" customHeight="1">
      <c r="A12" s="28"/>
      <c r="B12" s="14">
        <v>122</v>
      </c>
      <c r="C12" s="16">
        <v>44</v>
      </c>
      <c r="D12" s="16">
        <v>1707</v>
      </c>
      <c r="E12" s="16">
        <v>-49</v>
      </c>
      <c r="F12" s="16">
        <v>180</v>
      </c>
      <c r="G12" s="16">
        <v>-178</v>
      </c>
      <c r="H12" s="16">
        <v>-14</v>
      </c>
      <c r="I12" s="16">
        <f>F12+E12</f>
        <v>131</v>
      </c>
      <c r="J12" s="16">
        <f>AVERAGE(I9:I12)</f>
        <v>81.75</v>
      </c>
      <c r="K12" s="16">
        <f>K11-H12</f>
        <v>689</v>
      </c>
    </row>
    <row r="13" ht="20.05" customHeight="1">
      <c r="A13" s="28"/>
      <c r="B13" s="14">
        <v>425</v>
      </c>
      <c r="C13" s="16">
        <v>44</v>
      </c>
      <c r="D13" s="16">
        <v>1513</v>
      </c>
      <c r="E13" s="16">
        <v>-157</v>
      </c>
      <c r="F13" s="16">
        <v>748</v>
      </c>
      <c r="G13" s="16">
        <v>-1859</v>
      </c>
      <c r="H13" s="16">
        <v>-59</v>
      </c>
      <c r="I13" s="16">
        <f>F13+E13</f>
        <v>591</v>
      </c>
      <c r="J13" s="16">
        <f>AVERAGE(I10:I13)</f>
        <v>251.75</v>
      </c>
      <c r="K13" s="16">
        <f>K12-H13</f>
        <v>748</v>
      </c>
    </row>
    <row r="14" ht="20.05" customHeight="1">
      <c r="A14" s="28"/>
      <c r="B14" s="14">
        <v>123</v>
      </c>
      <c r="C14" s="16">
        <v>44</v>
      </c>
      <c r="D14" s="16">
        <v>1640</v>
      </c>
      <c r="E14" s="16">
        <v>-90</v>
      </c>
      <c r="F14" s="16">
        <v>284</v>
      </c>
      <c r="G14" s="16">
        <v>-480</v>
      </c>
      <c r="H14" s="16">
        <v>1136</v>
      </c>
      <c r="I14" s="16">
        <f>F14+E14</f>
        <v>194</v>
      </c>
      <c r="J14" s="16">
        <f>AVERAGE(I11:I14)</f>
        <v>203.75</v>
      </c>
      <c r="K14" s="16">
        <f>K13-H14</f>
        <v>-388</v>
      </c>
    </row>
    <row r="15" ht="20.05" customHeight="1">
      <c r="A15" s="29">
        <v>2021</v>
      </c>
      <c r="B15" s="14">
        <v>406</v>
      </c>
      <c r="C15" s="16">
        <v>46</v>
      </c>
      <c r="D15" s="16">
        <v>1602</v>
      </c>
      <c r="E15" s="16">
        <v>-46</v>
      </c>
      <c r="F15" s="16">
        <v>415</v>
      </c>
      <c r="G15" s="16">
        <v>-121</v>
      </c>
      <c r="H15" s="16">
        <v>-81</v>
      </c>
      <c r="I15" s="16">
        <f>F15+E15</f>
        <v>369</v>
      </c>
      <c r="J15" s="16">
        <f>AVERAGE(I12:I15)</f>
        <v>321.25</v>
      </c>
      <c r="K15" s="16">
        <f>K14-H15</f>
        <v>-307</v>
      </c>
    </row>
    <row r="16" ht="20.05" customHeight="1">
      <c r="A16" s="28"/>
      <c r="B16" s="14">
        <f>662.4-B15</f>
        <v>256.4</v>
      </c>
      <c r="C16" s="16">
        <f>10.3+0.5+6.3+0.3+0.7+72.2+0.6+0.7+0.1-C15</f>
        <v>45.7</v>
      </c>
      <c r="D16" s="16">
        <f>3410.8-D15</f>
        <v>1808.8</v>
      </c>
      <c r="E16" s="16">
        <f>-75.7-E15</f>
        <v>-29.7</v>
      </c>
      <c r="F16" s="16">
        <f>792.2-F15</f>
        <v>377.2</v>
      </c>
      <c r="G16" s="16">
        <f>-144.4-G15</f>
        <v>-23.4</v>
      </c>
      <c r="H16" s="16">
        <f>-81.1-H15</f>
        <v>-0.1</v>
      </c>
      <c r="I16" s="16">
        <f>F16+E16</f>
        <v>347.5</v>
      </c>
      <c r="J16" s="16">
        <f>AVERAGE(I13:I16)</f>
        <v>375.375</v>
      </c>
      <c r="K16" s="16">
        <f>K15-H16</f>
        <v>-306.9</v>
      </c>
    </row>
    <row r="17" ht="20.05" customHeight="1">
      <c r="A17" s="28"/>
      <c r="B17" s="14">
        <f>914.2-SUM(B15:B16)</f>
        <v>251.8</v>
      </c>
      <c r="C17" s="16">
        <f>119.6+16.9+1.2-SUM(C15:C16)</f>
        <v>46</v>
      </c>
      <c r="D17" s="16">
        <f>5193.8-SUM(D15:D16)</f>
        <v>1783</v>
      </c>
      <c r="E17" s="16">
        <f>-171-3-SUM(E15:E16)</f>
        <v>-98.3</v>
      </c>
      <c r="F17" s="16">
        <f>1198.3-SUM(F15:F16)</f>
        <v>406.1</v>
      </c>
      <c r="G17" s="16">
        <f>566.7-SUM(G15:G16)</f>
        <v>711.1</v>
      </c>
      <c r="H17" s="16">
        <f>-678.5-SUM(H15:H16)</f>
        <v>-597.4</v>
      </c>
      <c r="I17" s="16">
        <f>F17+E17</f>
        <v>307.8</v>
      </c>
      <c r="J17" s="16">
        <f>AVERAGE(I14:I17)</f>
        <v>304.575</v>
      </c>
      <c r="K17" s="16">
        <f>K16-H17</f>
        <v>290.5</v>
      </c>
    </row>
    <row r="18" ht="20.05" customHeight="1">
      <c r="A18" s="28"/>
      <c r="B18" s="14"/>
      <c r="C18" s="16"/>
      <c r="D18" s="16"/>
      <c r="E18" s="16"/>
      <c r="F18" s="16"/>
      <c r="G18" s="16"/>
      <c r="H18" s="16"/>
      <c r="I18" s="16"/>
      <c r="J18" s="16">
        <f>SUM('Model'!F9:F10)</f>
        <v>332.364369394740</v>
      </c>
      <c r="K18" s="16">
        <f>'Model'!F32</f>
        <v>1482.612121561450</v>
      </c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2344" style="32" customWidth="1"/>
    <col min="2" max="10" width="10.875" style="32" customWidth="1"/>
    <col min="11" max="16384" width="16.3516" style="32" customWidth="1"/>
  </cols>
  <sheetData>
    <row r="1" ht="27.65" customHeight="1">
      <c r="A1" t="s" s="2">
        <v>45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46</v>
      </c>
      <c r="C2" t="s" s="4">
        <v>47</v>
      </c>
      <c r="D2" t="s" s="4">
        <v>21</v>
      </c>
      <c r="E2" t="s" s="4">
        <v>22</v>
      </c>
      <c r="F2" t="s" s="4">
        <v>11</v>
      </c>
      <c r="G2" t="s" s="4">
        <v>48</v>
      </c>
      <c r="H2" t="s" s="4">
        <v>49</v>
      </c>
      <c r="I2" t="s" s="4">
        <v>50</v>
      </c>
      <c r="J2" t="s" s="4">
        <v>32</v>
      </c>
    </row>
    <row r="3" ht="20.25" customHeight="1">
      <c r="A3" s="26">
        <v>2019</v>
      </c>
      <c r="B3" s="27">
        <v>1651</v>
      </c>
      <c r="C3" s="31">
        <v>5855</v>
      </c>
      <c r="D3" s="31">
        <f>C3-B3</f>
        <v>4204</v>
      </c>
      <c r="E3" s="31"/>
      <c r="F3" s="31">
        <v>775</v>
      </c>
      <c r="G3" s="31">
        <v>5079</v>
      </c>
      <c r="H3" s="31">
        <f>F3+G3-C3</f>
        <v>-1</v>
      </c>
      <c r="I3" s="31">
        <f>B3-F3</f>
        <v>876</v>
      </c>
      <c r="J3" s="31"/>
    </row>
    <row r="4" ht="20.05" customHeight="1">
      <c r="A4" s="28"/>
      <c r="B4" s="14">
        <v>1927</v>
      </c>
      <c r="C4" s="16">
        <v>6175</v>
      </c>
      <c r="D4" s="16">
        <f>C4-B4</f>
        <v>4248</v>
      </c>
      <c r="E4" s="16"/>
      <c r="F4" s="16">
        <v>1037</v>
      </c>
      <c r="G4" s="16">
        <v>5139</v>
      </c>
      <c r="H4" s="16">
        <f>F4+G4-C4</f>
        <v>1</v>
      </c>
      <c r="I4" s="16">
        <f>B4-F4</f>
        <v>890</v>
      </c>
      <c r="J4" s="16"/>
    </row>
    <row r="5" ht="20.05" customHeight="1">
      <c r="A5" s="28"/>
      <c r="B5" s="14">
        <v>1683</v>
      </c>
      <c r="C5" s="16">
        <v>6391</v>
      </c>
      <c r="D5" s="16">
        <f>C5-B5</f>
        <v>4708</v>
      </c>
      <c r="E5" s="16"/>
      <c r="F5" s="16">
        <v>945</v>
      </c>
      <c r="G5" s="16">
        <v>5446</v>
      </c>
      <c r="H5" s="16">
        <f>F5+G5-C5</f>
        <v>0</v>
      </c>
      <c r="I5" s="16">
        <f>B5-F5</f>
        <v>738</v>
      </c>
      <c r="J5" s="16"/>
    </row>
    <row r="6" ht="20.05" customHeight="1">
      <c r="A6" s="28"/>
      <c r="B6" s="14">
        <v>2041</v>
      </c>
      <c r="C6" s="16">
        <v>6608</v>
      </c>
      <c r="D6" s="16">
        <f>C6-B6</f>
        <v>4567</v>
      </c>
      <c r="E6" s="16"/>
      <c r="F6" s="16">
        <v>953</v>
      </c>
      <c r="G6" s="16">
        <v>5655</v>
      </c>
      <c r="H6" s="16">
        <f>F6+G6-C6</f>
        <v>0</v>
      </c>
      <c r="I6" s="16">
        <f>B6-F6</f>
        <v>1088</v>
      </c>
      <c r="J6" s="16"/>
    </row>
    <row r="7" ht="20.05" customHeight="1">
      <c r="A7" s="29">
        <v>2020</v>
      </c>
      <c r="B7" s="14">
        <v>1892</v>
      </c>
      <c r="C7" s="16">
        <v>7133</v>
      </c>
      <c r="D7" s="16">
        <f>C7-B7</f>
        <v>5241</v>
      </c>
      <c r="E7" s="16"/>
      <c r="F7" s="16">
        <v>1037</v>
      </c>
      <c r="G7" s="16">
        <v>6095</v>
      </c>
      <c r="H7" s="16">
        <f>F7+G7-C7</f>
        <v>-1</v>
      </c>
      <c r="I7" s="16">
        <f>B7-F7</f>
        <v>855</v>
      </c>
      <c r="J7" s="16"/>
    </row>
    <row r="8" ht="20.05" customHeight="1">
      <c r="A8" s="28"/>
      <c r="B8" s="14">
        <v>1880</v>
      </c>
      <c r="C8" s="16">
        <v>7054</v>
      </c>
      <c r="D8" s="16">
        <f>C8-B8</f>
        <v>5174</v>
      </c>
      <c r="E8" s="16"/>
      <c r="F8" s="16">
        <v>849</v>
      </c>
      <c r="G8" s="16">
        <v>6205</v>
      </c>
      <c r="H8" s="16">
        <f>F8+G8-C8</f>
        <v>0</v>
      </c>
      <c r="I8" s="16">
        <f>B8-F8</f>
        <v>1031</v>
      </c>
      <c r="J8" s="16"/>
    </row>
    <row r="9" ht="20.05" customHeight="1">
      <c r="A9" s="28"/>
      <c r="B9" s="14">
        <v>710</v>
      </c>
      <c r="C9" s="16">
        <v>5584</v>
      </c>
      <c r="D9" s="16">
        <f>C9-B9</f>
        <v>4874</v>
      </c>
      <c r="E9" s="16"/>
      <c r="F9" s="16">
        <v>942</v>
      </c>
      <c r="G9" s="16">
        <v>4642</v>
      </c>
      <c r="H9" s="16">
        <f>F9+G9-C9</f>
        <v>0</v>
      </c>
      <c r="I9" s="16">
        <f>B9-F9</f>
        <v>-232</v>
      </c>
      <c r="J9" s="16"/>
    </row>
    <row r="10" ht="20.05" customHeight="1">
      <c r="A10" s="28"/>
      <c r="B10" s="14">
        <v>1650</v>
      </c>
      <c r="C10" s="16">
        <v>8754</v>
      </c>
      <c r="D10" s="16">
        <f>C10-B10</f>
        <v>7104</v>
      </c>
      <c r="E10" s="16">
        <f>1797+23+41</f>
        <v>1861</v>
      </c>
      <c r="F10" s="16">
        <v>3972</v>
      </c>
      <c r="G10" s="16">
        <v>4782</v>
      </c>
      <c r="H10" s="16">
        <f>F10+G10-C10</f>
        <v>0</v>
      </c>
      <c r="I10" s="16">
        <f>B10-F10</f>
        <v>-2322</v>
      </c>
      <c r="J10" s="16"/>
    </row>
    <row r="11" ht="20.05" customHeight="1">
      <c r="A11" s="29">
        <v>2021</v>
      </c>
      <c r="B11" s="14">
        <v>1864</v>
      </c>
      <c r="C11" s="16">
        <v>9126</v>
      </c>
      <c r="D11" s="16">
        <f>C11-B11</f>
        <v>7262</v>
      </c>
      <c r="E11" s="16">
        <f>1836+28+42</f>
        <v>1906</v>
      </c>
      <c r="F11" s="16">
        <v>3949</v>
      </c>
      <c r="G11" s="16">
        <v>5177</v>
      </c>
      <c r="H11" s="16">
        <f>F11+G11-C11</f>
        <v>0</v>
      </c>
      <c r="I11" s="16">
        <f>B11-F11</f>
        <v>-2085</v>
      </c>
      <c r="J11" s="16"/>
    </row>
    <row r="12" ht="20.05" customHeight="1">
      <c r="A12" s="28"/>
      <c r="B12" s="14">
        <v>2216</v>
      </c>
      <c r="C12" s="16">
        <v>9305</v>
      </c>
      <c r="D12" s="16">
        <f>C12-B12</f>
        <v>7089</v>
      </c>
      <c r="E12" s="16">
        <f>1876+33+42</f>
        <v>1951</v>
      </c>
      <c r="F12" s="16">
        <v>3874</v>
      </c>
      <c r="G12" s="16">
        <v>5431</v>
      </c>
      <c r="H12" s="16">
        <f>F12+G12-C12</f>
        <v>0</v>
      </c>
      <c r="I12" s="16">
        <f>B12-F12</f>
        <v>-1658</v>
      </c>
      <c r="J12" s="16"/>
    </row>
    <row r="13" ht="20.05" customHeight="1">
      <c r="A13" s="28"/>
      <c r="B13" s="14">
        <v>2736</v>
      </c>
      <c r="C13" s="16">
        <v>9014</v>
      </c>
      <c r="D13" s="16">
        <f>C13-B13</f>
        <v>6278</v>
      </c>
      <c r="E13" s="16">
        <f>1914+39+43</f>
        <v>1996</v>
      </c>
      <c r="F13" s="16">
        <v>4228</v>
      </c>
      <c r="G13" s="16">
        <v>4786</v>
      </c>
      <c r="H13" s="16">
        <f>F13+G13-C13</f>
        <v>0</v>
      </c>
      <c r="I13" s="16">
        <f>B13-F13</f>
        <v>-1492</v>
      </c>
      <c r="J13" s="16">
        <f>I13</f>
        <v>-1492</v>
      </c>
    </row>
    <row r="14" ht="20.05" customHeight="1">
      <c r="A14" s="28"/>
      <c r="B14" s="14"/>
      <c r="C14" s="16"/>
      <c r="D14" s="16">
        <f>C14-B14</f>
        <v>0</v>
      </c>
      <c r="E14" s="16"/>
      <c r="F14" s="16"/>
      <c r="G14" s="16"/>
      <c r="H14" s="16"/>
      <c r="I14" s="16"/>
      <c r="J14" s="16">
        <f>'Model'!F30</f>
        <v>-620.362724689930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5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0.5469" style="33" customWidth="1"/>
    <col min="4" max="16384" width="16.3516" style="33" customWidth="1"/>
  </cols>
  <sheetData>
    <row r="1" ht="27.65" customHeight="1">
      <c r="A1" t="s" s="2">
        <v>51</v>
      </c>
      <c r="B1" s="2"/>
      <c r="C1" s="2"/>
    </row>
    <row r="2" ht="20.25" customHeight="1">
      <c r="A2" s="5"/>
      <c r="B2" t="s" s="34">
        <v>52</v>
      </c>
      <c r="C2" t="s" s="34">
        <v>53</v>
      </c>
    </row>
    <row r="3" ht="20.25" customHeight="1">
      <c r="A3" s="26">
        <v>2018</v>
      </c>
      <c r="B3" s="27">
        <v>1240.472656</v>
      </c>
      <c r="C3" s="9"/>
    </row>
    <row r="4" ht="20.05" customHeight="1">
      <c r="A4" s="28"/>
      <c r="B4" s="14">
        <v>1338.147705</v>
      </c>
      <c r="C4" s="20"/>
    </row>
    <row r="5" ht="20.05" customHeight="1">
      <c r="A5" s="28"/>
      <c r="B5" s="14">
        <v>1553.032715</v>
      </c>
      <c r="C5" s="20"/>
    </row>
    <row r="6" ht="20.05" customHeight="1">
      <c r="A6" s="28"/>
      <c r="B6" s="14">
        <v>1455.357666</v>
      </c>
      <c r="C6" s="20"/>
    </row>
    <row r="7" ht="20.05" customHeight="1">
      <c r="A7" s="28"/>
      <c r="B7" s="14">
        <v>1211.170166</v>
      </c>
      <c r="C7" s="20"/>
    </row>
    <row r="8" ht="20.05" customHeight="1">
      <c r="A8" s="28"/>
      <c r="B8" s="14">
        <v>1318.612671</v>
      </c>
      <c r="C8" s="20"/>
    </row>
    <row r="9" ht="20.05" customHeight="1">
      <c r="A9" s="28"/>
      <c r="B9" s="14">
        <v>1264.891479</v>
      </c>
      <c r="C9" s="20"/>
    </row>
    <row r="10" ht="20.05" customHeight="1">
      <c r="A10" s="28"/>
      <c r="B10" s="14">
        <v>1275.259277</v>
      </c>
      <c r="C10" s="20"/>
    </row>
    <row r="11" ht="20.05" customHeight="1">
      <c r="A11" s="28"/>
      <c r="B11" s="14">
        <v>1314.649658</v>
      </c>
      <c r="C11" s="20"/>
    </row>
    <row r="12" ht="20.05" customHeight="1">
      <c r="A12" s="28"/>
      <c r="B12" s="14">
        <v>1221.097778</v>
      </c>
      <c r="C12" s="20"/>
    </row>
    <row r="13" ht="20.05" customHeight="1">
      <c r="A13" s="28"/>
      <c r="B13" s="14">
        <v>1112.774536</v>
      </c>
      <c r="C13" s="20"/>
    </row>
    <row r="14" ht="20.05" customHeight="1">
      <c r="A14" s="28"/>
      <c r="B14" s="14">
        <v>1329.420898</v>
      </c>
      <c r="C14" s="20"/>
    </row>
    <row r="15" ht="20.05" customHeight="1">
      <c r="A15" s="29">
        <v>2019</v>
      </c>
      <c r="B15" s="14">
        <v>1171.859985</v>
      </c>
      <c r="C15" s="20"/>
    </row>
    <row r="16" ht="20.05" customHeight="1">
      <c r="A16" s="28"/>
      <c r="B16" s="14">
        <v>1221.097778</v>
      </c>
      <c r="C16" s="20"/>
    </row>
    <row r="17" ht="20.05" customHeight="1">
      <c r="A17" s="28"/>
      <c r="B17" s="14">
        <v>1230.945313</v>
      </c>
      <c r="C17" s="20"/>
    </row>
    <row r="18" ht="20.05" customHeight="1">
      <c r="A18" s="28"/>
      <c r="B18" s="14">
        <v>1260.488037</v>
      </c>
      <c r="C18" s="20"/>
    </row>
    <row r="19" ht="20.05" customHeight="1">
      <c r="A19" s="28"/>
      <c r="B19" s="14">
        <v>1378.658813</v>
      </c>
      <c r="C19" s="20"/>
    </row>
    <row r="20" ht="20.05" customHeight="1">
      <c r="A20" s="28"/>
      <c r="B20" s="14">
        <v>1408.201538</v>
      </c>
      <c r="C20" s="20"/>
    </row>
    <row r="21" ht="20.05" customHeight="1">
      <c r="A21" s="28"/>
      <c r="B21" s="14">
        <v>1477.134399</v>
      </c>
      <c r="C21" s="20"/>
    </row>
    <row r="22" ht="20.05" customHeight="1">
      <c r="A22" s="28"/>
      <c r="B22" s="14">
        <v>1524.622559</v>
      </c>
      <c r="C22" s="20"/>
    </row>
    <row r="23" ht="20.05" customHeight="1">
      <c r="A23" s="28"/>
      <c r="B23" s="14">
        <v>1569.318359</v>
      </c>
      <c r="C23" s="20"/>
    </row>
    <row r="24" ht="20.05" customHeight="1">
      <c r="A24" s="28"/>
      <c r="B24" s="14">
        <v>1509.723999</v>
      </c>
      <c r="C24" s="20"/>
    </row>
    <row r="25" ht="20.05" customHeight="1">
      <c r="A25" s="28"/>
      <c r="B25" s="14">
        <v>1589.183105</v>
      </c>
      <c r="C25" s="20"/>
    </row>
    <row r="26" ht="20.05" customHeight="1">
      <c r="A26" s="28"/>
      <c r="B26" s="14">
        <v>1668.642334</v>
      </c>
      <c r="C26" s="20"/>
    </row>
    <row r="27" ht="20.05" customHeight="1">
      <c r="A27" s="29">
        <v>2020</v>
      </c>
      <c r="B27" s="14">
        <v>1678.574707</v>
      </c>
      <c r="C27" s="20"/>
    </row>
    <row r="28" ht="20.05" customHeight="1">
      <c r="A28" s="28"/>
      <c r="B28" s="14">
        <v>1599.115479</v>
      </c>
      <c r="C28" s="20"/>
    </row>
    <row r="29" ht="20.05" customHeight="1">
      <c r="A29" s="28"/>
      <c r="B29" s="14">
        <v>1584.216919</v>
      </c>
      <c r="C29" s="20"/>
    </row>
    <row r="30" ht="20.05" customHeight="1">
      <c r="A30" s="28"/>
      <c r="B30" s="14">
        <v>1370.67041</v>
      </c>
      <c r="C30" s="20"/>
    </row>
    <row r="31" ht="20.05" customHeight="1">
      <c r="A31" s="28"/>
      <c r="B31" s="14">
        <v>1509.723999</v>
      </c>
      <c r="C31" s="20"/>
    </row>
    <row r="32" ht="20.05" customHeight="1">
      <c r="A32" s="28"/>
      <c r="B32" s="14">
        <v>1638.845093</v>
      </c>
      <c r="C32" s="20"/>
    </row>
    <row r="33" ht="20.05" customHeight="1">
      <c r="A33" s="28"/>
      <c r="B33" s="14">
        <v>1614.01416</v>
      </c>
      <c r="C33" s="20"/>
    </row>
    <row r="34" ht="20.05" customHeight="1">
      <c r="A34" s="28"/>
      <c r="B34" s="14">
        <v>1763</v>
      </c>
      <c r="C34" s="20"/>
    </row>
    <row r="35" ht="20.05" customHeight="1">
      <c r="A35" s="28"/>
      <c r="B35" s="14">
        <v>1678.574707</v>
      </c>
      <c r="C35" s="20"/>
    </row>
    <row r="36" ht="20.05" customHeight="1">
      <c r="A36" s="28"/>
      <c r="B36" s="14">
        <v>1655</v>
      </c>
      <c r="C36" s="20"/>
    </row>
    <row r="37" ht="20.05" customHeight="1">
      <c r="A37" s="28"/>
      <c r="B37" s="14">
        <v>1610</v>
      </c>
      <c r="C37" s="20"/>
    </row>
    <row r="38" ht="20.05" customHeight="1">
      <c r="A38" s="28"/>
      <c r="B38" s="14">
        <v>1600</v>
      </c>
      <c r="C38" s="20"/>
    </row>
    <row r="39" ht="20.05" customHeight="1">
      <c r="A39" s="29">
        <v>2021</v>
      </c>
      <c r="B39" s="14">
        <v>1510</v>
      </c>
      <c r="C39" s="20"/>
    </row>
    <row r="40" ht="20.05" customHeight="1">
      <c r="A40" s="28"/>
      <c r="B40" s="14">
        <v>1515</v>
      </c>
      <c r="C40" s="20"/>
    </row>
    <row r="41" ht="20.05" customHeight="1">
      <c r="A41" s="28"/>
      <c r="B41" s="14">
        <v>1515</v>
      </c>
      <c r="C41" s="20"/>
    </row>
    <row r="42" ht="20.05" customHeight="1">
      <c r="A42" s="28"/>
      <c r="B42" s="14">
        <v>1610</v>
      </c>
      <c r="C42" s="20"/>
    </row>
    <row r="43" ht="20.05" customHeight="1">
      <c r="A43" s="28"/>
      <c r="B43" s="14">
        <v>1535</v>
      </c>
      <c r="C43" s="20"/>
    </row>
    <row r="44" ht="20.05" customHeight="1">
      <c r="A44" s="28"/>
      <c r="B44" s="14">
        <v>1535</v>
      </c>
      <c r="C44" s="20"/>
    </row>
    <row r="45" ht="20.05" customHeight="1">
      <c r="A45" s="28"/>
      <c r="B45" s="14">
        <v>1530</v>
      </c>
      <c r="C45" s="20"/>
    </row>
    <row r="46" ht="20.05" customHeight="1">
      <c r="A46" s="28"/>
      <c r="B46" s="14">
        <v>1500</v>
      </c>
      <c r="C46" s="20"/>
    </row>
    <row r="47" ht="20.05" customHeight="1">
      <c r="A47" s="28"/>
      <c r="B47" s="14">
        <v>1530</v>
      </c>
      <c r="C47" s="20"/>
    </row>
    <row r="48" ht="20.05" customHeight="1">
      <c r="A48" s="28"/>
      <c r="B48" s="14">
        <v>1630</v>
      </c>
      <c r="C48" s="16">
        <v>1889.4856488412</v>
      </c>
    </row>
    <row r="49" ht="20.05" customHeight="1">
      <c r="A49" s="28"/>
      <c r="B49" s="14">
        <v>1705</v>
      </c>
      <c r="C49" s="16">
        <f>B49</f>
        <v>1705</v>
      </c>
    </row>
    <row r="50" ht="20.05" customHeight="1">
      <c r="A50" s="28"/>
      <c r="B50" s="14"/>
      <c r="C50" s="16">
        <f>'Model'!F42</f>
        <v>2091.696593736370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