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<sst xmlns="http://schemas.openxmlformats.org/spreadsheetml/2006/main" uniqueCount="63">
  <si>
    <t>Financial model</t>
  </si>
  <si>
    <t>$m</t>
  </si>
  <si>
    <t>4Q 2021</t>
  </si>
  <si>
    <t xml:space="preserve">Cashflow </t>
  </si>
  <si>
    <t>Growth</t>
  </si>
  <si>
    <t>Sales</t>
  </si>
  <si>
    <t>Cost ratio</t>
  </si>
  <si>
    <t xml:space="preserve">Cash costs </t>
  </si>
  <si>
    <t>Operating</t>
  </si>
  <si>
    <t>Investment</t>
  </si>
  <si>
    <t>Finance</t>
  </si>
  <si>
    <t xml:space="preserve">Liabilities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</si>
  <si>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</si>
  <si>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</si>
  <si>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</si>
  <si>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</si>
  <si>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</si>
  <si>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</si>
  <si>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</si>
  <si>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>Non cash costs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</si>
  <si>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</si>
  <si>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</si>
  <si>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</si>
  <si>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</si>
  <si>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</si>
  <si>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</si>
  <si>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</si>
  <si>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</si>
  <si>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</si>
  <si>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</si>
  <si>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</si>
  <si>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</si>
  <si>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</si>
  <si>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</si>
  <si>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</si>
  <si>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</si>
  <si>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</si>
  <si>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</si>
  <si>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</si>
  <si>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</si>
  <si>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</si>
  <si>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</si>
  <si>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>Profit quarterly</t>
  </si>
  <si>
    <t xml:space="preserve">Sales growth </t>
  </si>
  <si>
    <t xml:space="preserve">Costs </t>
  </si>
  <si>
    <t>Cashflow</t>
  </si>
  <si>
    <t>Net income</t>
  </si>
  <si>
    <t>Depreciation</t>
  </si>
  <si>
    <t>Changes in Working Capital</t>
  </si>
  <si>
    <t>Non cash</t>
  </si>
  <si>
    <t>PPE</t>
  </si>
  <si>
    <t xml:space="preserve">Operating </t>
  </si>
  <si>
    <t xml:space="preserve">Investment </t>
  </si>
  <si>
    <t>Free cash flow</t>
  </si>
  <si>
    <t>Capotal</t>
  </si>
  <si>
    <t>Cash</t>
  </si>
  <si>
    <t>Assets</t>
  </si>
  <si>
    <t xml:space="preserve">Other assets </t>
  </si>
  <si>
    <t>Total assets</t>
  </si>
  <si>
    <t>Net cash</t>
  </si>
  <si>
    <t>TWTR</t>
  </si>
  <si>
    <t xml:space="preserve"> TWTR</t>
  </si>
  <si>
    <t>Target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</si>
</sst>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.0"/>
    <numFmt numFmtId="60" formatCode="#,##0%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6"/>
      <name val="Arial"/>
    </font>
    <font>
      <sz val="16"/>
      <color indexed="16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8"/>
        <bgColor auto="1"/>
      </patternFill>
    </fill>
  </fills>
  <borders count="1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1"/>
      </left>
      <right style="thin">
        <color indexed="10"/>
      </right>
      <top style="thin">
        <color indexed="15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8" fontId="0" borderId="8" applyNumberFormat="1" applyFont="1" applyFill="0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8" fontId="0" borderId="9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5" borderId="10" applyNumberFormat="1" applyFont="1" applyFill="1" applyBorder="1" applyAlignment="1" applyProtection="0">
      <alignment horizontal="right" vertical="top" wrapText="1"/>
    </xf>
    <xf numFmtId="1" fontId="0" borderId="11" applyNumberFormat="1" applyFont="1" applyFill="0" applyBorder="1" applyAlignment="1" applyProtection="0">
      <alignment vertical="top" wrapText="1"/>
    </xf>
    <xf numFmtId="1" fontId="3" borderId="12" applyNumberFormat="1" applyFont="1" applyFill="0" applyBorder="1" applyAlignment="1" applyProtection="0">
      <alignment vertical="center" wrapText="1" readingOrder="1"/>
    </xf>
    <xf numFmtId="1" fontId="3" borderId="13" applyNumberFormat="1" applyFont="1" applyFill="0" applyBorder="1" applyAlignment="1" applyProtection="0">
      <alignment vertical="center" wrapText="1" readingOrder="1"/>
    </xf>
    <xf numFmtId="1" fontId="4" fillId="6" borderId="13" applyNumberFormat="1" applyFont="1" applyFill="1" applyBorder="1" applyAlignment="1" applyProtection="0">
      <alignment vertical="center" wrapText="1" readingOrder="1"/>
    </xf>
    <xf numFmtId="1" fontId="3" borderId="14" applyNumberFormat="1" applyFont="1" applyFill="0" applyBorder="1" applyAlignment="1" applyProtection="0">
      <alignment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c2c2c2"/>
      <rgbColor rgb="ff474747"/>
      <rgbColor rgb="ff323232"/>
      <rgbColor rgb="ffd9d9d9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527950</xdr:colOff>
      <xdr:row>3</xdr:row>
      <xdr:rowOff>286</xdr:rowOff>
    </xdr:from>
    <xdr:to>
      <xdr:col>12</xdr:col>
      <xdr:colOff>688279</xdr:colOff>
      <xdr:row>45</xdr:row>
      <xdr:rowOff>71316</xdr:rowOff>
    </xdr:to>
    <xdr:pic>
      <xdr:nvPicPr>
        <xdr:cNvPr id="2" name="Image" descr="Image"/>
        <xdr:cNvPicPr>
          <a:picLocks noChangeAspect="0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47550" y="971201"/>
          <a:ext cx="7627930" cy="10768241"/>
        </a:xfrm>
        <a:prstGeom prst="rect">
          <a:avLst/>
        </a:prstGeom>
        <a:effectLst>
          <a:outerShdw sx="100000" sy="100000" kx="0" ky="0" algn="b" rotWithShape="0" blurRad="12700" dist="12700" dir="16200000">
            <a:srgbClr val="000000">
              <a:alpha val="2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4375" style="1" customWidth="1"/>
    <col min="2" max="2" width="16.8281" style="1" customWidth="1"/>
    <col min="3" max="6" width="8.63281" style="1" customWidth="1"/>
    <col min="7" max="16384" width="16.3516" style="1" customWidth="1"/>
  </cols>
  <sheetData>
    <row r="1" ht="28.5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t="s" s="3">
        <v>2</v>
      </c>
      <c r="D3" s="4"/>
      <c r="E3" s="4"/>
      <c r="F3" s="4"/>
    </row>
    <row r="4" ht="20.25" customHeight="1">
      <c r="B4" t="s" s="5">
        <v>3</v>
      </c>
      <c r="C4" s="6">
        <f>AVERAGE('Sales'!E23:E26)</f>
        <v>0.102125203584098</v>
      </c>
      <c r="D4" s="7"/>
      <c r="E4" s="7"/>
      <c r="F4" s="8">
        <f>AVERAGE(C5:F5)</f>
        <v>0.0425</v>
      </c>
    </row>
    <row r="5" ht="20.05" customHeight="1">
      <c r="B5" t="s" s="9">
        <v>4</v>
      </c>
      <c r="C5" s="10">
        <v>0.18</v>
      </c>
      <c r="D5" s="11">
        <v>-0.13</v>
      </c>
      <c r="E5" s="11">
        <v>0.05</v>
      </c>
      <c r="F5" s="11">
        <v>0.07000000000000001</v>
      </c>
    </row>
    <row r="6" ht="20.05" customHeight="1">
      <c r="B6" t="s" s="9">
        <v>5</v>
      </c>
      <c r="C6" s="12">
        <f>'Sales'!C25*(1+C5)</f>
        <v>1404.2</v>
      </c>
      <c r="D6" s="13">
        <f>C6*(1+D5)</f>
        <v>1221.654</v>
      </c>
      <c r="E6" s="13">
        <f>D6*(1+E5)</f>
        <v>1282.7367</v>
      </c>
      <c r="F6" s="13">
        <f>E6*(1+F5)</f>
        <v>1372.528269</v>
      </c>
    </row>
    <row r="7" ht="20.05" customHeight="1">
      <c r="B7" t="s" s="9">
        <v>6</v>
      </c>
      <c r="C7" s="10">
        <f>AVERAGE('Sales'!G23)</f>
        <v>-0.755331139965884</v>
      </c>
      <c r="D7" s="11">
        <f>C7</f>
        <v>-0.755331139965884</v>
      </c>
      <c r="E7" s="11">
        <f>D7</f>
        <v>-0.755331139965884</v>
      </c>
      <c r="F7" s="11">
        <f>E7</f>
        <v>-0.755331139965884</v>
      </c>
    </row>
    <row r="8" ht="20.05" customHeight="1">
      <c r="B8" t="s" s="9">
        <v>7</v>
      </c>
      <c r="C8" s="14">
        <f>C7*C6</f>
        <v>-1060.635986740090</v>
      </c>
      <c r="D8" s="15">
        <f>D7*D6</f>
        <v>-922.753308463882</v>
      </c>
      <c r="E8" s="15">
        <f>E7*E6</f>
        <v>-968.890973887076</v>
      </c>
      <c r="F8" s="15">
        <f>F7*F6</f>
        <v>-1036.713342059170</v>
      </c>
    </row>
    <row r="9" ht="20.05" customHeight="1">
      <c r="B9" t="s" s="9">
        <v>8</v>
      </c>
      <c r="C9" s="16">
        <f>C6+C8</f>
        <v>343.564013259910</v>
      </c>
      <c r="D9" s="17">
        <f>D6+D8</f>
        <v>298.900691536118</v>
      </c>
      <c r="E9" s="17">
        <f>E6+E8</f>
        <v>313.845726112924</v>
      </c>
      <c r="F9" s="17">
        <f>F6+F8</f>
        <v>335.814926940830</v>
      </c>
    </row>
    <row r="10" ht="20.05" customHeight="1">
      <c r="B10" t="s" s="9">
        <v>9</v>
      </c>
      <c r="C10" s="16">
        <f>AVERAGE('Cashflow '!H21:H26)</f>
        <v>-270.333333333333</v>
      </c>
      <c r="D10" s="17">
        <f>C10</f>
        <v>-270.333333333333</v>
      </c>
      <c r="E10" s="17">
        <f>D10</f>
        <v>-270.333333333333</v>
      </c>
      <c r="F10" s="17">
        <f>E10</f>
        <v>-270.333333333333</v>
      </c>
    </row>
    <row r="11" ht="20.05" customHeight="1">
      <c r="B11" t="s" s="9">
        <v>10</v>
      </c>
      <c r="C11" s="16">
        <f>C12+C13+C15</f>
        <v>-73.230679926577</v>
      </c>
      <c r="D11" s="17">
        <f>D12+D13+D15</f>
        <v>-28.5673582027854</v>
      </c>
      <c r="E11" s="17">
        <f>E12+E13+E15</f>
        <v>-43.5123927795912</v>
      </c>
      <c r="F11" s="17">
        <f>F12+F13+F15</f>
        <v>-65.481593607497</v>
      </c>
    </row>
    <row r="12" ht="20.05" customHeight="1">
      <c r="B12" t="s" s="9">
        <v>11</v>
      </c>
      <c r="C12" s="16">
        <f>-('Balance sheet'!H26)/20</f>
        <v>-370.835</v>
      </c>
      <c r="D12" s="17">
        <f>-C26/20</f>
        <v>-352.29325</v>
      </c>
      <c r="E12" s="17">
        <f>-D26/20</f>
        <v>-334.6785875</v>
      </c>
      <c r="F12" s="17">
        <f>-E26/20</f>
        <v>-317.944658125</v>
      </c>
    </row>
    <row r="13" ht="20.05" customHeight="1">
      <c r="B13" t="s" s="9">
        <v>12</v>
      </c>
      <c r="C13" s="16">
        <f>IF(C21&gt;0,-C21*0.3,0)</f>
        <v>-80.869203977973</v>
      </c>
      <c r="D13" s="17">
        <f>IF(D21&gt;0,-D21*0.3,0)</f>
        <v>-67.4702074608354</v>
      </c>
      <c r="E13" s="17">
        <f>IF(E21&gt;0,-E21*0.3,0)</f>
        <v>-71.95371783387721</v>
      </c>
      <c r="F13" s="17">
        <f>IF(F21&gt;0,-F21*0.3,0)</f>
        <v>-78.544478082249</v>
      </c>
    </row>
    <row r="14" ht="20.05" customHeight="1">
      <c r="B14" t="s" s="9">
        <v>13</v>
      </c>
      <c r="C14" s="16">
        <f>C9+C10+C12+C13</f>
        <v>-378.473524051396</v>
      </c>
      <c r="D14" s="17">
        <f>D9+D10+D12+D13</f>
        <v>-391.196099258050</v>
      </c>
      <c r="E14" s="17">
        <f>E9+E10+E12+E13</f>
        <v>-363.119912554286</v>
      </c>
      <c r="F14" s="17">
        <f>F9+F10+F12+F13</f>
        <v>-331.007542599752</v>
      </c>
    </row>
    <row r="15" ht="20.05" customHeight="1">
      <c r="B15" t="s" s="9">
        <v>14</v>
      </c>
      <c r="C15" s="16">
        <f>-MIN(0,C14)</f>
        <v>378.473524051396</v>
      </c>
      <c r="D15" s="17">
        <f>-MIN(C27,D14)</f>
        <v>391.196099258050</v>
      </c>
      <c r="E15" s="17">
        <f>-MIN(D27,E14)</f>
        <v>363.119912554286</v>
      </c>
      <c r="F15" s="17">
        <f>-MIN(E27,F14)</f>
        <v>331.007542599752</v>
      </c>
    </row>
    <row r="16" ht="20.05" customHeight="1">
      <c r="B16" t="s" s="9">
        <v>15</v>
      </c>
      <c r="C16" s="16">
        <f>'Balance sheet'!C26</f>
        <v>3473.9</v>
      </c>
      <c r="D16" s="17">
        <f>C18</f>
        <v>3473.9</v>
      </c>
      <c r="E16" s="17">
        <f>D18</f>
        <v>3473.9</v>
      </c>
      <c r="F16" s="17">
        <f>E18</f>
        <v>3473.9</v>
      </c>
    </row>
    <row r="17" ht="20.05" customHeight="1">
      <c r="B17" t="s" s="9">
        <v>16</v>
      </c>
      <c r="C17" s="16">
        <f>C9+C10+C11</f>
        <v>0</v>
      </c>
      <c r="D17" s="17">
        <f>D9+D10+D11</f>
        <v>-4e-13</v>
      </c>
      <c r="E17" s="17">
        <f>E9+E10+E11</f>
        <v>-2e-13</v>
      </c>
      <c r="F17" s="17">
        <f>F9+F10+F11</f>
        <v>0</v>
      </c>
    </row>
    <row r="18" ht="20.05" customHeight="1">
      <c r="B18" t="s" s="9">
        <v>17</v>
      </c>
      <c r="C18" s="16">
        <f>C16+C17</f>
        <v>3473.9</v>
      </c>
      <c r="D18" s="17">
        <f>D16+D17</f>
        <v>3473.9</v>
      </c>
      <c r="E18" s="17">
        <f>E16+E17</f>
        <v>3473.9</v>
      </c>
      <c r="F18" s="17">
        <f>F16+F17</f>
        <v>3473.9</v>
      </c>
    </row>
    <row r="19" ht="20.05" customHeight="1">
      <c r="B19" t="s" s="18">
        <v>18</v>
      </c>
      <c r="C19" s="19"/>
      <c r="D19" s="20"/>
      <c r="E19" s="17"/>
      <c r="F19" s="21"/>
    </row>
    <row r="20" ht="20.05" customHeight="1">
      <c r="B20" t="s" s="9">
        <v>19</v>
      </c>
      <c r="C20" s="16">
        <f>-AVERAGE('Cashflow '!G26)</f>
        <v>-74</v>
      </c>
      <c r="D20" s="17">
        <f>C20</f>
        <v>-74</v>
      </c>
      <c r="E20" s="17">
        <f>D20</f>
        <v>-74</v>
      </c>
      <c r="F20" s="17">
        <f>E20</f>
        <v>-74</v>
      </c>
    </row>
    <row r="21" ht="20.05" customHeight="1">
      <c r="B21" t="s" s="9">
        <v>20</v>
      </c>
      <c r="C21" s="14">
        <f>C6+C8+C20</f>
        <v>269.564013259910</v>
      </c>
      <c r="D21" s="15">
        <f>D6+D8+D20</f>
        <v>224.900691536118</v>
      </c>
      <c r="E21" s="15">
        <f>E6+E8+E20</f>
        <v>239.845726112924</v>
      </c>
      <c r="F21" s="15">
        <f>F6+F8+F20</f>
        <v>261.814926940830</v>
      </c>
    </row>
    <row r="22" ht="20.05" customHeight="1">
      <c r="B22" t="s" s="18">
        <v>21</v>
      </c>
      <c r="C22" s="19"/>
      <c r="D22" s="20"/>
      <c r="E22" s="17"/>
      <c r="F22" s="17"/>
    </row>
    <row r="23" ht="20.05" customHeight="1">
      <c r="B23" t="s" s="9">
        <v>22</v>
      </c>
      <c r="C23" s="16">
        <f>'Balance sheet'!F26+'Balance sheet'!E26-C10</f>
        <v>15417.7333333333</v>
      </c>
      <c r="D23" s="17">
        <f>C23-D10</f>
        <v>15688.0666666666</v>
      </c>
      <c r="E23" s="17">
        <f>D23-E10</f>
        <v>15958.3999999999</v>
      </c>
      <c r="F23" s="17">
        <f>E23-F10</f>
        <v>16228.7333333332</v>
      </c>
    </row>
    <row r="24" ht="20.05" customHeight="1">
      <c r="B24" t="s" s="9">
        <v>23</v>
      </c>
      <c r="C24" s="16">
        <f>'Balance sheet'!F26-C20</f>
        <v>4106</v>
      </c>
      <c r="D24" s="17">
        <f>C24-D20</f>
        <v>4180</v>
      </c>
      <c r="E24" s="17">
        <f>D24-E20</f>
        <v>4254</v>
      </c>
      <c r="F24" s="17">
        <f>E24-F20</f>
        <v>4328</v>
      </c>
    </row>
    <row r="25" ht="20.05" customHeight="1">
      <c r="B25" t="s" s="9">
        <v>24</v>
      </c>
      <c r="C25" s="16">
        <f>C23-C24</f>
        <v>11311.7333333333</v>
      </c>
      <c r="D25" s="17">
        <f>D23-D24</f>
        <v>11508.0666666666</v>
      </c>
      <c r="E25" s="17">
        <f>E23-E24</f>
        <v>11704.3999999999</v>
      </c>
      <c r="F25" s="17">
        <f>F23-F24</f>
        <v>11900.7333333332</v>
      </c>
    </row>
    <row r="26" ht="20.05" customHeight="1">
      <c r="B26" t="s" s="9">
        <v>11</v>
      </c>
      <c r="C26" s="16">
        <f>'Balance sheet'!H26+C12</f>
        <v>7045.865</v>
      </c>
      <c r="D26" s="17">
        <f>C26+D12</f>
        <v>6693.57175</v>
      </c>
      <c r="E26" s="17">
        <f>D26+E12</f>
        <v>6358.8931625</v>
      </c>
      <c r="F26" s="17">
        <f>E26+F12</f>
        <v>6040.948504375</v>
      </c>
    </row>
    <row r="27" ht="20.05" customHeight="1">
      <c r="B27" t="s" s="9">
        <v>14</v>
      </c>
      <c r="C27" s="16">
        <f>C15</f>
        <v>378.473524051396</v>
      </c>
      <c r="D27" s="17">
        <f>C27+D15</f>
        <v>769.669623309446</v>
      </c>
      <c r="E27" s="17">
        <f>D27+E15</f>
        <v>1132.789535863730</v>
      </c>
      <c r="F27" s="17">
        <f>E27+F15</f>
        <v>1463.797078463480</v>
      </c>
    </row>
    <row r="28" ht="20.05" customHeight="1">
      <c r="B28" t="s" s="9">
        <v>25</v>
      </c>
      <c r="C28" s="16">
        <f>'Balance sheet'!I26+C21+C13</f>
        <v>7361.294809281940</v>
      </c>
      <c r="D28" s="17">
        <f>C28+D21+D13</f>
        <v>7518.725293357220</v>
      </c>
      <c r="E28" s="17">
        <f>D28+E21+E13</f>
        <v>7686.617301636270</v>
      </c>
      <c r="F28" s="17">
        <f>E28+F21+F13</f>
        <v>7869.887750494850</v>
      </c>
    </row>
    <row r="29" ht="20.05" customHeight="1">
      <c r="B29" t="s" s="9">
        <v>26</v>
      </c>
      <c r="C29" s="16">
        <f>C26+C27+C28-C18-C25</f>
        <v>3.6e-11</v>
      </c>
      <c r="D29" s="17">
        <f>D26+D27+D28-D18-D25</f>
        <v>6.6e-11</v>
      </c>
      <c r="E29" s="17">
        <f>E26+E27+E28-E18-E25</f>
        <v>1e-10</v>
      </c>
      <c r="F29" s="17">
        <f>F26+F27+F28-F18-F25</f>
        <v>1.3e-10</v>
      </c>
    </row>
    <row r="30" ht="20.05" customHeight="1">
      <c r="B30" t="s" s="9">
        <v>27</v>
      </c>
      <c r="C30" s="16">
        <f>C18-C26-C27</f>
        <v>-3950.4385240514</v>
      </c>
      <c r="D30" s="17">
        <f>D18-D26-D27</f>
        <v>-3989.341373309450</v>
      </c>
      <c r="E30" s="17">
        <f>E18-E26-E27</f>
        <v>-4017.782698363730</v>
      </c>
      <c r="F30" s="17">
        <f>F18-F26-F27</f>
        <v>-4030.845582838480</v>
      </c>
    </row>
    <row r="31" ht="20.05" customHeight="1">
      <c r="B31" t="s" s="18">
        <v>28</v>
      </c>
      <c r="C31" s="16"/>
      <c r="D31" s="17"/>
      <c r="E31" s="17"/>
      <c r="F31" s="17"/>
    </row>
    <row r="32" ht="20.05" customHeight="1">
      <c r="B32" t="s" s="9">
        <v>29</v>
      </c>
      <c r="C32" s="16">
        <f>'Cashflow '!N26-C11</f>
        <v>-980.769320073423</v>
      </c>
      <c r="D32" s="17">
        <f>C32-D11</f>
        <v>-952.201961870638</v>
      </c>
      <c r="E32" s="17">
        <f>D32-E11</f>
        <v>-908.689569091047</v>
      </c>
      <c r="F32" s="17">
        <f>E32-F11</f>
        <v>-843.2079754835499</v>
      </c>
    </row>
    <row r="33" ht="20.05" customHeight="1">
      <c r="B33" t="s" s="9">
        <v>30</v>
      </c>
      <c r="C33" s="16"/>
      <c r="D33" s="17"/>
      <c r="E33" s="17"/>
      <c r="F33" s="17">
        <v>49020</v>
      </c>
    </row>
    <row r="34" ht="20.05" customHeight="1">
      <c r="B34" t="s" s="9">
        <v>31</v>
      </c>
      <c r="C34" s="16"/>
      <c r="D34" s="17"/>
      <c r="E34" s="17"/>
      <c r="F34" s="22">
        <f>F33/(F18+F25)</f>
        <v>3.18836871990446</v>
      </c>
    </row>
    <row r="35" ht="20.05" customHeight="1">
      <c r="B35" t="s" s="9">
        <v>32</v>
      </c>
      <c r="C35" s="16"/>
      <c r="D35" s="17"/>
      <c r="E35" s="17"/>
      <c r="F35" s="23">
        <f>-(C13+D13+E13+F13)/F33</f>
        <v>0.0060962384201333</v>
      </c>
    </row>
    <row r="36" ht="20.05" customHeight="1">
      <c r="B36" t="s" s="9">
        <v>3</v>
      </c>
      <c r="C36" s="16"/>
      <c r="D36" s="17"/>
      <c r="E36" s="17"/>
      <c r="F36" s="17">
        <f>SUM(C9:F10)</f>
        <v>210.792024516450</v>
      </c>
    </row>
    <row r="37" ht="20.05" customHeight="1">
      <c r="B37" t="s" s="9">
        <v>33</v>
      </c>
      <c r="C37" s="16"/>
      <c r="D37" s="17"/>
      <c r="E37" s="17"/>
      <c r="F37" s="17">
        <f>'Balance sheet'!E26/F36</f>
        <v>52.7315965843507</v>
      </c>
    </row>
    <row r="38" ht="20.05" customHeight="1">
      <c r="B38" t="s" s="9">
        <v>28</v>
      </c>
      <c r="C38" s="16"/>
      <c r="D38" s="17"/>
      <c r="E38" s="17"/>
      <c r="F38" s="17">
        <f>F33/F36</f>
        <v>232.551492934566</v>
      </c>
    </row>
    <row r="39" ht="20.05" customHeight="1">
      <c r="B39" t="s" s="24">
        <v>34</v>
      </c>
      <c r="C39" s="16"/>
      <c r="D39" s="17"/>
      <c r="E39" s="17"/>
      <c r="F39" s="17">
        <v>100</v>
      </c>
    </row>
    <row r="40" ht="20.05" customHeight="1">
      <c r="B40" t="s" s="9">
        <v>35</v>
      </c>
      <c r="C40" s="16"/>
      <c r="D40" s="17"/>
      <c r="E40" s="17"/>
      <c r="F40" s="17">
        <f>F36*F39</f>
        <v>21079.202451645</v>
      </c>
    </row>
    <row r="41" ht="20.05" customHeight="1">
      <c r="B41" t="s" s="9">
        <v>36</v>
      </c>
      <c r="C41" s="16"/>
      <c r="D41" s="17"/>
      <c r="E41" s="17"/>
      <c r="F41" s="17">
        <f>F33/F43</f>
        <v>797.981442292040</v>
      </c>
    </row>
    <row r="42" ht="20.05" customHeight="1">
      <c r="B42" t="s" s="9">
        <v>37</v>
      </c>
      <c r="C42" s="16"/>
      <c r="D42" s="17"/>
      <c r="E42" s="17"/>
      <c r="F42" s="17">
        <f>F40/F41</f>
        <v>26.4156549694931</v>
      </c>
    </row>
    <row r="43" ht="20.05" customHeight="1">
      <c r="B43" t="s" s="9">
        <v>38</v>
      </c>
      <c r="C43" s="16"/>
      <c r="D43" s="17"/>
      <c r="E43" s="17"/>
      <c r="F43" s="17">
        <f>'Share price'!C97</f>
        <v>61.43</v>
      </c>
    </row>
    <row r="44" ht="20.05" customHeight="1">
      <c r="B44" t="s" s="9">
        <v>39</v>
      </c>
      <c r="C44" s="16"/>
      <c r="D44" s="17"/>
      <c r="E44" s="17"/>
      <c r="F44" s="23">
        <f>F42/F43-1</f>
        <v>-0.569987710084762</v>
      </c>
    </row>
    <row r="45" ht="20.05" customHeight="1">
      <c r="B45" t="s" s="9">
        <v>40</v>
      </c>
      <c r="C45" s="16"/>
      <c r="D45" s="17"/>
      <c r="E45" s="17"/>
      <c r="F45" s="23">
        <f>'Sales'!C26/'Sales'!C22-1</f>
        <v>0.371794871794872</v>
      </c>
    </row>
    <row r="46" ht="20.05" customHeight="1">
      <c r="B46" t="s" s="9">
        <v>41</v>
      </c>
      <c r="C46" s="16"/>
      <c r="D46" s="17"/>
      <c r="E46" s="17"/>
      <c r="F46" s="23">
        <f>('Sales'!D21+'Sales'!D22+'Sales'!D23+'Sales'!D24+'Sales'!D25+'Sales'!D26)/('Sales'!C21+'Sales'!C22+'Sales'!C23+'Sales'!C24+'Sales'!C25+'Sales'!C26)-1</f>
        <v>-0.0346145456811666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G30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5" style="25" customWidth="1"/>
    <col min="2" max="2" width="10.8672" style="25" customWidth="1"/>
    <col min="3" max="7" width="10.5469" style="25" customWidth="1"/>
    <col min="8" max="16384" width="16.3516" style="25" customWidth="1"/>
  </cols>
  <sheetData>
    <row r="1" ht="15" customHeight="1"/>
    <row r="2" ht="27.65" customHeight="1">
      <c r="B2" t="s" s="2">
        <v>42</v>
      </c>
      <c r="C2" s="2"/>
      <c r="D2" s="2"/>
      <c r="E2" s="2"/>
      <c r="F2" s="2"/>
      <c r="G2" s="2"/>
    </row>
    <row r="3" ht="32.25" customHeight="1">
      <c r="B3" t="s" s="26">
        <v>1</v>
      </c>
      <c r="C3" t="s" s="26">
        <v>5</v>
      </c>
      <c r="D3" t="s" s="26">
        <v>34</v>
      </c>
      <c r="E3" t="s" s="26">
        <v>43</v>
      </c>
      <c r="F3" t="s" s="26">
        <v>6</v>
      </c>
      <c r="G3" t="s" s="26">
        <v>44</v>
      </c>
    </row>
    <row r="4" ht="20.25" customHeight="1">
      <c r="B4" s="27">
        <v>2016</v>
      </c>
      <c r="C4" s="28">
        <v>595</v>
      </c>
      <c r="D4" s="29"/>
      <c r="E4" s="8"/>
      <c r="F4" s="30">
        <f>('Cashflow '!F4+'Cashflow '!G4-C4)/C4</f>
        <v>-0.700840336134454</v>
      </c>
      <c r="G4" s="30"/>
    </row>
    <row r="5" ht="20.05" customHeight="1">
      <c r="B5" s="31"/>
      <c r="C5" s="12">
        <v>601</v>
      </c>
      <c r="D5" s="17"/>
      <c r="E5" s="11">
        <f>C5/C4-1</f>
        <v>0.0100840336134454</v>
      </c>
      <c r="F5" s="23">
        <f>('Cashflow '!F5+'Cashflow '!G5-C5)/C5</f>
        <v>-0.707820299500832</v>
      </c>
      <c r="G5" s="23"/>
    </row>
    <row r="6" ht="20.05" customHeight="1">
      <c r="B6" s="31"/>
      <c r="C6" s="12">
        <v>616</v>
      </c>
      <c r="D6" s="17"/>
      <c r="E6" s="11">
        <f>C6/C5-1</f>
        <v>0.0249584026622296</v>
      </c>
      <c r="F6" s="23">
        <f>('Cashflow '!F6+'Cashflow '!G6-C6)/C6</f>
        <v>-0.718181818181818</v>
      </c>
      <c r="G6" s="23"/>
    </row>
    <row r="7" ht="20.05" customHeight="1">
      <c r="B7" s="31"/>
      <c r="C7" s="12">
        <v>718</v>
      </c>
      <c r="D7" s="17"/>
      <c r="E7" s="11">
        <f>C7/C6-1</f>
        <v>0.165584415584416</v>
      </c>
      <c r="F7" s="23">
        <f>('Cashflow '!F7+'Cashflow '!G7-C7)/C7</f>
        <v>-0.844289693593315</v>
      </c>
      <c r="G7" s="23"/>
    </row>
    <row r="8" ht="20.05" customHeight="1">
      <c r="B8" s="32">
        <v>2017</v>
      </c>
      <c r="C8" s="12">
        <v>548</v>
      </c>
      <c r="D8" s="17"/>
      <c r="E8" s="11">
        <f>C8/C7-1</f>
        <v>-0.236768802228412</v>
      </c>
      <c r="F8" s="23">
        <f>('Cashflow '!F8+'Cashflow '!G8-C8)/C8</f>
        <v>-0.67463503649635</v>
      </c>
      <c r="G8" s="23">
        <f>AVERAGE(F5:F8)</f>
        <v>-0.736231711943079</v>
      </c>
    </row>
    <row r="9" ht="20.05" customHeight="1">
      <c r="B9" s="31"/>
      <c r="C9" s="12">
        <v>574</v>
      </c>
      <c r="D9" s="17"/>
      <c r="E9" s="11">
        <f>C9/C8-1</f>
        <v>0.0474452554744526</v>
      </c>
      <c r="F9" s="23">
        <f>('Cashflow '!F9+'Cashflow '!G9-C9)/C9</f>
        <v>-0.790940766550523</v>
      </c>
      <c r="G9" s="23">
        <f>AVERAGE(F6:F9)</f>
        <v>-0.757011828705502</v>
      </c>
    </row>
    <row r="10" ht="20.05" customHeight="1">
      <c r="B10" s="31"/>
      <c r="C10" s="12">
        <v>590</v>
      </c>
      <c r="D10" s="17"/>
      <c r="E10" s="11">
        <f>C10/C9-1</f>
        <v>0.0278745644599303</v>
      </c>
      <c r="F10" s="23">
        <f>('Cashflow '!F10+'Cashflow '!G10-C10)/C10</f>
        <v>-0.666610169491525</v>
      </c>
      <c r="G10" s="23">
        <f>AVERAGE(F7:F10)</f>
        <v>-0.7441189165329281</v>
      </c>
    </row>
    <row r="11" ht="20.05" customHeight="1">
      <c r="B11" s="31"/>
      <c r="C11" s="12">
        <v>731</v>
      </c>
      <c r="D11" s="17"/>
      <c r="E11" s="11">
        <f>C11/C10-1</f>
        <v>0.238983050847458</v>
      </c>
      <c r="F11" s="23">
        <f>('Cashflow '!F11+'Cashflow '!G11-C11)/C11</f>
        <v>-0.575923392612859</v>
      </c>
      <c r="G11" s="23">
        <f>AVERAGE(F8:F11)</f>
        <v>-0.6770273412878141</v>
      </c>
    </row>
    <row r="12" ht="20.05" customHeight="1">
      <c r="B12" s="32">
        <v>2018</v>
      </c>
      <c r="C12" s="12">
        <v>665</v>
      </c>
      <c r="D12" s="17"/>
      <c r="E12" s="11">
        <f>C12/C11-1</f>
        <v>-0.0902872777017784</v>
      </c>
      <c r="F12" s="23">
        <f>('Cashflow '!F12+'Cashflow '!G12-C12)/C12</f>
        <v>-0.622556390977444</v>
      </c>
      <c r="G12" s="23">
        <f>AVERAGE(F9:F12)</f>
        <v>-0.664007679908088</v>
      </c>
    </row>
    <row r="13" ht="20.05" customHeight="1">
      <c r="B13" s="31"/>
      <c r="C13" s="12">
        <v>711</v>
      </c>
      <c r="D13" s="13"/>
      <c r="E13" s="11">
        <f>C13/C12-1</f>
        <v>0.06917293233082709</v>
      </c>
      <c r="F13" s="23">
        <f>('Cashflow '!F13+'Cashflow '!G13-C13)/C13</f>
        <v>-0.624613220815752</v>
      </c>
      <c r="G13" s="23">
        <f>AVERAGE(F10:F13)</f>
        <v>-0.622425793474395</v>
      </c>
    </row>
    <row r="14" ht="20.05" customHeight="1">
      <c r="B14" s="31"/>
      <c r="C14" s="12">
        <v>758</v>
      </c>
      <c r="D14" s="13"/>
      <c r="E14" s="11">
        <f>C14/C13-1</f>
        <v>0.0661040787623066</v>
      </c>
      <c r="F14" s="23">
        <f>('Cashflow '!F14+'Cashflow '!G14-C14)/C14</f>
        <v>-0.580738786279683</v>
      </c>
      <c r="G14" s="23">
        <f>AVERAGE(F11:F14)</f>
        <v>-0.600957947671435</v>
      </c>
    </row>
    <row r="15" ht="20.05" customHeight="1">
      <c r="B15" s="31"/>
      <c r="C15" s="12">
        <v>909</v>
      </c>
      <c r="D15" s="13"/>
      <c r="E15" s="11">
        <f>C15/C14-1</f>
        <v>0.199208443271768</v>
      </c>
      <c r="F15" s="23">
        <f>('Cashflow '!F15+'Cashflow '!G15-C15)/C15</f>
        <v>-0.3996699669967</v>
      </c>
      <c r="G15" s="23">
        <f>AVERAGE(F12:F15)</f>
        <v>-0.556894591267395</v>
      </c>
    </row>
    <row r="16" ht="20.05" customHeight="1">
      <c r="B16" s="32">
        <v>2019</v>
      </c>
      <c r="C16" s="12">
        <v>786.9</v>
      </c>
      <c r="D16" s="13"/>
      <c r="E16" s="11">
        <f>C16/C15-1</f>
        <v>-0.134323432343234</v>
      </c>
      <c r="F16" s="23">
        <f>('Cashflow '!F16+'Cashflow '!G16-C16)/C16</f>
        <v>-0.449612403100775</v>
      </c>
      <c r="G16" s="23">
        <f>AVERAGE(F13:F16)</f>
        <v>-0.513658594298228</v>
      </c>
    </row>
    <row r="17" ht="20.05" customHeight="1">
      <c r="B17" s="31"/>
      <c r="C17" s="12">
        <v>841</v>
      </c>
      <c r="D17" s="13"/>
      <c r="E17" s="11">
        <f>C17/C16-1</f>
        <v>0.06875079425594099</v>
      </c>
      <c r="F17" s="23">
        <f>('Cashflow '!F17+'Cashflow '!G17-C17)/C17</f>
        <v>-0.6092746730083231</v>
      </c>
      <c r="G17" s="23">
        <f>AVERAGE(F14:F17)</f>
        <v>-0.50982395734637</v>
      </c>
    </row>
    <row r="18" ht="20.05" customHeight="1">
      <c r="B18" s="31"/>
      <c r="C18" s="12">
        <v>824</v>
      </c>
      <c r="D18" s="17"/>
      <c r="E18" s="11">
        <f>C18/C17-1</f>
        <v>-0.0202140309155767</v>
      </c>
      <c r="F18" s="23">
        <f>('Cashflow '!F18+'Cashflow '!G18-C18)/C18</f>
        <v>-0.64623786407767</v>
      </c>
      <c r="G18" s="23">
        <f>AVERAGE(F15:F18)</f>
        <v>-0.526198726795867</v>
      </c>
    </row>
    <row r="19" ht="20.05" customHeight="1">
      <c r="B19" s="31"/>
      <c r="C19" s="12">
        <v>1007</v>
      </c>
      <c r="D19" s="17"/>
      <c r="E19" s="11">
        <f>C19/C18-1</f>
        <v>0.222087378640777</v>
      </c>
      <c r="F19" s="23">
        <f>('Cashflow '!F19+'Cashflow '!G19-C19)/C19</f>
        <v>-0.630685203574975</v>
      </c>
      <c r="G19" s="23">
        <f>AVERAGE(F16:F19)</f>
        <v>-0.5839525359404359</v>
      </c>
    </row>
    <row r="20" ht="20.05" customHeight="1">
      <c r="B20" s="32">
        <v>2020</v>
      </c>
      <c r="C20" s="12">
        <v>807.6</v>
      </c>
      <c r="D20" s="17"/>
      <c r="E20" s="11">
        <f>C20/C19-1</f>
        <v>-0.198013902681231</v>
      </c>
      <c r="F20" s="23">
        <f>('Cashflow '!F20+'Cashflow '!G20-C20)/C20</f>
        <v>-0.721892025755324</v>
      </c>
      <c r="G20" s="23">
        <f>AVERAGE(F17:F20)</f>
        <v>-0.652022441604073</v>
      </c>
    </row>
    <row r="21" ht="20.05" customHeight="1">
      <c r="B21" s="31"/>
      <c r="C21" s="12">
        <v>683.4</v>
      </c>
      <c r="D21" s="17">
        <v>799</v>
      </c>
      <c r="E21" s="11">
        <f>C21/C20-1</f>
        <v>-0.153789004457652</v>
      </c>
      <c r="F21" s="23">
        <f>('Cashflow '!F21+'Cashflow '!G21-C21)/C21</f>
        <v>-0.992244659057653</v>
      </c>
      <c r="G21" s="23">
        <f>AVERAGE(F18:F21)</f>
        <v>-0.747764938116406</v>
      </c>
    </row>
    <row r="22" ht="20.05" customHeight="1">
      <c r="B22" s="31"/>
      <c r="C22" s="12">
        <v>936</v>
      </c>
      <c r="D22" s="13">
        <v>766.3200000000001</v>
      </c>
      <c r="E22" s="11">
        <f>C22/C21-1</f>
        <v>0.369622475856014</v>
      </c>
      <c r="F22" s="23">
        <f>('Cashflow '!F22+'Cashflow '!G22-C22)/C22</f>
        <v>-0.6950854700854699</v>
      </c>
      <c r="G22" s="23">
        <f>AVERAGE(F19:F22)</f>
        <v>-0.759976839618356</v>
      </c>
    </row>
    <row r="23" ht="20.05" customHeight="1">
      <c r="B23" s="31"/>
      <c r="C23" s="16">
        <v>1289</v>
      </c>
      <c r="D23" s="13">
        <v>1076.4</v>
      </c>
      <c r="E23" s="11">
        <f>C23/C22-1</f>
        <v>0.377136752136752</v>
      </c>
      <c r="F23" s="23">
        <f>('Cashflow '!F23+'Cashflow '!G23-C23)/C23</f>
        <v>-0.6121024049650891</v>
      </c>
      <c r="G23" s="23">
        <f>AVERAGE(F20:F23)</f>
        <v>-0.755331139965884</v>
      </c>
    </row>
    <row r="24" ht="20.05" customHeight="1">
      <c r="B24" s="32">
        <v>2021</v>
      </c>
      <c r="C24" s="16">
        <v>1036</v>
      </c>
      <c r="D24" s="13">
        <v>1172.99</v>
      </c>
      <c r="E24" s="11">
        <f>C24/C23-1</f>
        <v>-0.196276183087665</v>
      </c>
      <c r="F24" s="23">
        <f>('Cashflow '!F24+'Cashflow '!G24-C24)/C24</f>
        <v>-0.72007722007722</v>
      </c>
      <c r="G24" s="23">
        <f>AVERAGE(F21:F24)</f>
        <v>-0.754877438546358</v>
      </c>
    </row>
    <row r="25" ht="20.05" customHeight="1">
      <c r="B25" s="31"/>
      <c r="C25" s="12">
        <v>1190</v>
      </c>
      <c r="D25" s="13">
        <v>1108.52</v>
      </c>
      <c r="E25" s="11">
        <f>C25/C24-1</f>
        <v>0.148648648648649</v>
      </c>
      <c r="F25" s="23">
        <f>('Cashflow '!F25+'Cashflow '!G25-C25)/C25</f>
        <v>-0.725210084033613</v>
      </c>
      <c r="G25" s="23">
        <f>AVERAGE(F22:F25)</f>
        <v>-0.688118794790348</v>
      </c>
    </row>
    <row r="26" ht="20.05" customHeight="1">
      <c r="B26" s="31"/>
      <c r="C26" s="12">
        <v>1284</v>
      </c>
      <c r="D26" s="17">
        <v>1273</v>
      </c>
      <c r="E26" s="11">
        <f>C26/C25-1</f>
        <v>0.0789915966386555</v>
      </c>
      <c r="F26" s="23">
        <f>('Cashflow '!F26+'Cashflow '!G26-C26)/C26</f>
        <v>-1.36059190031153</v>
      </c>
      <c r="G26" s="23">
        <f>AVERAGE(F23:F26)</f>
        <v>-0.8544954023468631</v>
      </c>
    </row>
    <row r="27" ht="20.05" customHeight="1">
      <c r="B27" s="31"/>
      <c r="C27" s="12"/>
      <c r="D27" s="13">
        <f>'Model'!C6</f>
        <v>1404.2</v>
      </c>
      <c r="E27" s="11"/>
      <c r="F27" s="11"/>
      <c r="G27" s="11">
        <f>'Model'!C7</f>
        <v>-0.755331139965884</v>
      </c>
    </row>
    <row r="28" ht="20.05" customHeight="1">
      <c r="B28" s="32">
        <v>2022</v>
      </c>
      <c r="C28" s="12"/>
      <c r="D28" s="13">
        <f>'Model'!D6</f>
        <v>1221.654</v>
      </c>
      <c r="E28" s="11"/>
      <c r="F28" s="23"/>
      <c r="G28" s="11"/>
    </row>
    <row r="29" ht="20.05" customHeight="1">
      <c r="B29" s="31"/>
      <c r="C29" s="12"/>
      <c r="D29" s="13">
        <f>'Model'!E6</f>
        <v>1282.7367</v>
      </c>
      <c r="E29" s="11"/>
      <c r="F29" s="23"/>
      <c r="G29" s="11"/>
    </row>
    <row r="30" ht="20.05" customHeight="1">
      <c r="B30" s="31"/>
      <c r="C30" s="12"/>
      <c r="D30" s="13">
        <f>'Model'!F6</f>
        <v>1372.528269</v>
      </c>
      <c r="E30" s="11"/>
      <c r="F30" s="23"/>
      <c r="G30" s="11"/>
    </row>
  </sheetData>
  <mergeCells count="1">
    <mergeCell ref="B2:G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71875" style="33" customWidth="1"/>
    <col min="2" max="2" width="10.1094" style="33" customWidth="1"/>
    <col min="3" max="5" hidden="1" width="16.3333" style="33" customWidth="1"/>
    <col min="6" max="14" width="10.1719" style="33" customWidth="1"/>
    <col min="15" max="16384" width="16.3516" style="33" customWidth="1"/>
  </cols>
  <sheetData>
    <row r="1" ht="26.9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26">
        <v>1</v>
      </c>
      <c r="C3" t="s" s="3">
        <v>46</v>
      </c>
      <c r="D3" t="s" s="3">
        <v>47</v>
      </c>
      <c r="E3" t="s" s="3">
        <v>48</v>
      </c>
      <c r="F3" t="s" s="26">
        <v>46</v>
      </c>
      <c r="G3" t="s" s="26">
        <v>49</v>
      </c>
      <c r="H3" t="s" s="26">
        <v>50</v>
      </c>
      <c r="I3" t="s" s="26">
        <v>51</v>
      </c>
      <c r="J3" t="s" s="26">
        <v>52</v>
      </c>
      <c r="K3" t="s" s="26">
        <v>10</v>
      </c>
      <c r="L3" t="s" s="26">
        <v>53</v>
      </c>
      <c r="M3" t="s" s="26">
        <v>3</v>
      </c>
      <c r="N3" t="s" s="26">
        <v>54</v>
      </c>
    </row>
    <row r="4" ht="20.15" customHeight="1">
      <c r="B4" s="27">
        <v>2016</v>
      </c>
      <c r="C4" s="34">
        <v>1738</v>
      </c>
      <c r="D4" s="34">
        <v>552</v>
      </c>
      <c r="E4" s="34">
        <f>267-106+15+2-3-16-2+69</f>
        <v>226</v>
      </c>
      <c r="F4" s="35">
        <v>-80</v>
      </c>
      <c r="G4" s="29">
        <v>258</v>
      </c>
      <c r="H4" s="29">
        <v>-59</v>
      </c>
      <c r="I4" s="29">
        <v>162.8</v>
      </c>
      <c r="J4" s="29">
        <v>-28.4</v>
      </c>
      <c r="K4" s="29">
        <v>-24</v>
      </c>
      <c r="L4" s="29">
        <f>I4+H4</f>
        <v>103.8</v>
      </c>
      <c r="M4" s="29"/>
      <c r="N4" s="29">
        <f>-K4</f>
        <v>24</v>
      </c>
    </row>
    <row r="5" ht="20.15" customHeight="1">
      <c r="B5" s="31"/>
      <c r="C5" s="36">
        <f>4021-C4</f>
        <v>2283</v>
      </c>
      <c r="D5" s="36">
        <f>1137-D4</f>
        <v>585</v>
      </c>
      <c r="E5" s="36">
        <f>-225-260+4-39+14+422+23+111-E4</f>
        <v>-176</v>
      </c>
      <c r="F5" s="16">
        <v>-107</v>
      </c>
      <c r="G5" s="17">
        <v>282.6</v>
      </c>
      <c r="H5" s="17">
        <v>-98</v>
      </c>
      <c r="I5" s="17">
        <v>214.2</v>
      </c>
      <c r="J5" s="17">
        <v>-284.6</v>
      </c>
      <c r="K5" s="17">
        <v>-10</v>
      </c>
      <c r="L5" s="17">
        <f>I5+H5</f>
        <v>116.2</v>
      </c>
      <c r="M5" s="17"/>
      <c r="N5" s="17">
        <f>-K5+N4</f>
        <v>34</v>
      </c>
    </row>
    <row r="6" ht="20.15" customHeight="1">
      <c r="B6" s="31"/>
      <c r="C6" s="36">
        <f>6648-SUM(C4:C5)</f>
        <v>2627</v>
      </c>
      <c r="D6" s="36">
        <f>1728-SUM(D4:D5)</f>
        <v>591</v>
      </c>
      <c r="E6" s="36">
        <f>-478-311+46-21+20+641+21-103-SUM(E4:E5)</f>
        <v>-235</v>
      </c>
      <c r="F6" s="16">
        <v>-103</v>
      </c>
      <c r="G6" s="17">
        <v>276.6</v>
      </c>
      <c r="H6" s="17">
        <v>-171</v>
      </c>
      <c r="I6" s="17">
        <v>190</v>
      </c>
      <c r="J6" s="17">
        <v>-97</v>
      </c>
      <c r="K6" s="17">
        <v>-28</v>
      </c>
      <c r="L6" s="17">
        <f>I6+H6</f>
        <v>19</v>
      </c>
      <c r="M6" s="17"/>
      <c r="N6" s="17">
        <f>-K6+N5</f>
        <v>62</v>
      </c>
    </row>
    <row r="7" ht="20.15" customHeight="1">
      <c r="B7" s="31"/>
      <c r="C7" s="36">
        <f>10217-SUM(C4:C6)</f>
        <v>3569</v>
      </c>
      <c r="D7" s="36">
        <f>2342-SUM(D4:D6)</f>
        <v>614</v>
      </c>
      <c r="E7" s="36">
        <f>-1489-159+14+14+67+1014+35+1262-SUM(E4:E6)</f>
        <v>943</v>
      </c>
      <c r="F7" s="16">
        <v>-167</v>
      </c>
      <c r="G7" s="17">
        <v>278.8</v>
      </c>
      <c r="H7" s="17">
        <v>-219</v>
      </c>
      <c r="I7" s="17">
        <v>196</v>
      </c>
      <c r="J7" s="17">
        <v>-188</v>
      </c>
      <c r="K7" s="17">
        <v>-22</v>
      </c>
      <c r="L7" s="17">
        <f>I7+H7</f>
        <v>-23</v>
      </c>
      <c r="M7" s="17"/>
      <c r="N7" s="17">
        <f>-K7+N6</f>
        <v>84</v>
      </c>
    </row>
    <row r="8" ht="20.15" customHeight="1">
      <c r="B8" s="32">
        <v>2017</v>
      </c>
      <c r="C8" s="36">
        <v>3064</v>
      </c>
      <c r="D8" s="36">
        <v>671</v>
      </c>
      <c r="E8" s="36">
        <f>609-365+31-10-3+61-10+222</f>
        <v>535</v>
      </c>
      <c r="F8" s="16">
        <v>-62</v>
      </c>
      <c r="G8" s="17">
        <v>240.3</v>
      </c>
      <c r="H8" s="17">
        <v>-40</v>
      </c>
      <c r="I8" s="17">
        <v>203.4</v>
      </c>
      <c r="J8" s="17">
        <v>19</v>
      </c>
      <c r="K8" s="17">
        <v>-23.7</v>
      </c>
      <c r="L8" s="17">
        <f>I8+H8</f>
        <v>163.4</v>
      </c>
      <c r="M8" s="17">
        <f>AVERAGE(L5:L8)</f>
        <v>68.90000000000001</v>
      </c>
      <c r="N8" s="17">
        <f>-K8+N7</f>
        <v>107.7</v>
      </c>
    </row>
    <row r="9" ht="20.15" customHeight="1">
      <c r="B9" s="31"/>
      <c r="C9" s="36">
        <f>6959-C8</f>
        <v>3895</v>
      </c>
      <c r="D9" s="36">
        <f>1400-D8</f>
        <v>729</v>
      </c>
      <c r="E9" s="36">
        <f>223-577+82-38-10+157-4+373-E8</f>
        <v>-329</v>
      </c>
      <c r="F9" s="16">
        <v>-116</v>
      </c>
      <c r="G9" s="17">
        <v>236</v>
      </c>
      <c r="H9" s="17">
        <v>-85</v>
      </c>
      <c r="I9" s="17">
        <v>189.6</v>
      </c>
      <c r="J9" s="17">
        <v>-82</v>
      </c>
      <c r="K9" s="17">
        <v>-15.3</v>
      </c>
      <c r="L9" s="17">
        <f>I9+H9</f>
        <v>104.6</v>
      </c>
      <c r="M9" s="17">
        <f>AVERAGE(L6:L9)</f>
        <v>66</v>
      </c>
      <c r="N9" s="17">
        <f>-K9+N8</f>
        <v>123</v>
      </c>
    </row>
    <row r="10" ht="20.15" customHeight="1">
      <c r="B10" s="31"/>
      <c r="C10" s="36">
        <f>11665-SUM(C8:C9)</f>
        <v>4706</v>
      </c>
      <c r="D10" s="36">
        <f>2172-SUM(D8:D9)</f>
        <v>772</v>
      </c>
      <c r="E10" s="36">
        <f>-235-634+130-7+22+95+12+550-SUM(E8:E9)</f>
        <v>-273</v>
      </c>
      <c r="F10" s="16">
        <v>-21</v>
      </c>
      <c r="G10" s="17">
        <v>217.7</v>
      </c>
      <c r="H10" s="17">
        <v>-121</v>
      </c>
      <c r="I10" s="17">
        <v>240</v>
      </c>
      <c r="J10" s="17">
        <v>85</v>
      </c>
      <c r="K10" s="17">
        <v>-27</v>
      </c>
      <c r="L10" s="17">
        <f>I10+H10</f>
        <v>119</v>
      </c>
      <c r="M10" s="17">
        <f>AVERAGE(L7:L10)</f>
        <v>91</v>
      </c>
      <c r="N10" s="17">
        <f>-K10+N9</f>
        <v>150</v>
      </c>
    </row>
    <row r="11" ht="20.15" customHeight="1">
      <c r="B11" s="31"/>
      <c r="C11" s="36">
        <f>15934-SUM(C8:C10)</f>
        <v>4269</v>
      </c>
      <c r="D11" s="36">
        <f>3025-SUM(D8:D10)</f>
        <v>853</v>
      </c>
      <c r="E11" s="36">
        <f>-1609-192+154+43+95+309+4+3083-SUM(E8:E10)</f>
        <v>1954</v>
      </c>
      <c r="F11" s="16">
        <v>93</v>
      </c>
      <c r="G11" s="17">
        <v>217</v>
      </c>
      <c r="H11" s="17">
        <v>-161</v>
      </c>
      <c r="I11" s="17">
        <v>198</v>
      </c>
      <c r="J11" s="17">
        <v>-135</v>
      </c>
      <c r="K11" s="17">
        <v>-12</v>
      </c>
      <c r="L11" s="17">
        <f>I11+H11</f>
        <v>37</v>
      </c>
      <c r="M11" s="17">
        <f>AVERAGE(L8:L11)</f>
        <v>106</v>
      </c>
      <c r="N11" s="17">
        <f>-K11+N10</f>
        <v>162</v>
      </c>
    </row>
    <row r="12" ht="20.15" customHeight="1">
      <c r="B12" s="32">
        <v>2018</v>
      </c>
      <c r="C12" s="36">
        <v>4988</v>
      </c>
      <c r="D12" s="36">
        <v>949</v>
      </c>
      <c r="E12" s="36">
        <f>788-365+22+1+2+707-5-143</f>
        <v>1007</v>
      </c>
      <c r="F12" s="16">
        <v>61</v>
      </c>
      <c r="G12" s="17">
        <v>190</v>
      </c>
      <c r="H12" s="17">
        <v>-93</v>
      </c>
      <c r="I12" s="17">
        <v>243</v>
      </c>
      <c r="J12" s="17">
        <v>-259</v>
      </c>
      <c r="K12" s="17">
        <v>-29</v>
      </c>
      <c r="L12" s="17">
        <f>I12+H12</f>
        <v>150</v>
      </c>
      <c r="M12" s="17">
        <f>AVERAGE(L9:L12)</f>
        <v>102.65</v>
      </c>
      <c r="N12" s="17">
        <f>-K12+N11</f>
        <v>191</v>
      </c>
    </row>
    <row r="13" ht="20.15" customHeight="1">
      <c r="B13" s="31"/>
      <c r="C13" s="36">
        <f>10093-C12</f>
        <v>5105</v>
      </c>
      <c r="D13" s="36">
        <f>1983-D12</f>
        <v>1034</v>
      </c>
      <c r="E13" s="36">
        <f>161-898-59+50+53+690-4-124-E12</f>
        <v>-1138</v>
      </c>
      <c r="F13" s="16">
        <v>100</v>
      </c>
      <c r="G13" s="17">
        <v>166.9</v>
      </c>
      <c r="H13" s="17">
        <v>-290</v>
      </c>
      <c r="I13" s="17">
        <v>321</v>
      </c>
      <c r="J13" s="17">
        <v>-414</v>
      </c>
      <c r="K13" s="17">
        <v>1048.9</v>
      </c>
      <c r="L13" s="17">
        <f>I13+H13</f>
        <v>31</v>
      </c>
      <c r="M13" s="17">
        <f>AVERAGE(L10:L13)</f>
        <v>84.25</v>
      </c>
      <c r="N13" s="17">
        <f>-K13+N12</f>
        <v>-857.9</v>
      </c>
    </row>
    <row r="14" ht="20.15" customHeight="1">
      <c r="B14" s="31"/>
      <c r="C14" s="36">
        <f>15230-SUM(C12:C13)</f>
        <v>5137</v>
      </c>
      <c r="D14" s="36">
        <f>3090-SUM(D12:D13)</f>
        <v>1107</v>
      </c>
      <c r="E14" s="36">
        <f>-328-889-99+88+116+1044+20+102-SUM(E12:E13)</f>
        <v>185</v>
      </c>
      <c r="F14" s="16">
        <v>789.2</v>
      </c>
      <c r="G14" s="17">
        <v>-471.4</v>
      </c>
      <c r="H14" s="17">
        <v>-410</v>
      </c>
      <c r="I14" s="17">
        <v>443.9</v>
      </c>
      <c r="J14" s="17">
        <v>-1027</v>
      </c>
      <c r="K14" s="17">
        <v>-30.6</v>
      </c>
      <c r="L14" s="17">
        <f>I14+H14</f>
        <v>33.9</v>
      </c>
      <c r="M14" s="17">
        <f>AVERAGE(L11:L14)</f>
        <v>62.975</v>
      </c>
      <c r="N14" s="17">
        <f>-K14+N13</f>
        <v>-827.3</v>
      </c>
    </row>
    <row r="15" ht="20.15" customHeight="1">
      <c r="B15" s="31"/>
      <c r="C15" s="36">
        <f>22112-SUM(C12:C14)</f>
        <v>6882</v>
      </c>
      <c r="D15" s="36">
        <f>4315-SUM(D12:D14)</f>
        <v>1225</v>
      </c>
      <c r="E15" s="36">
        <f>-1892-690-159+221+157+1417+53-634-SUM(E12:E14)</f>
        <v>-1581</v>
      </c>
      <c r="F15" s="16">
        <v>255.3</v>
      </c>
      <c r="G15" s="17">
        <v>290.4</v>
      </c>
      <c r="H15" s="17">
        <v>-484</v>
      </c>
      <c r="I15" s="17">
        <v>332</v>
      </c>
      <c r="J15" s="17">
        <v>-356</v>
      </c>
      <c r="K15" s="17">
        <v>-11.1</v>
      </c>
      <c r="L15" s="17">
        <f>I15+H15</f>
        <v>-152</v>
      </c>
      <c r="M15" s="17">
        <f>AVERAGE(L12:L15)</f>
        <v>15.725</v>
      </c>
      <c r="N15" s="17">
        <f>-K15+N14</f>
        <v>-816.2</v>
      </c>
    </row>
    <row r="16" ht="20.15" customHeight="1">
      <c r="B16" s="32">
        <v>2019</v>
      </c>
      <c r="C16" s="36">
        <v>2429</v>
      </c>
      <c r="D16" s="36">
        <v>1355</v>
      </c>
      <c r="E16" s="36">
        <f>1070+84+41-1190-96-1+3154-4+1083+184</f>
        <v>4325</v>
      </c>
      <c r="F16" s="16">
        <v>190.8</v>
      </c>
      <c r="G16" s="17">
        <v>242.3</v>
      </c>
      <c r="H16" s="17">
        <v>-83</v>
      </c>
      <c r="I16" s="17">
        <v>351.7</v>
      </c>
      <c r="J16" s="17">
        <v>29.4</v>
      </c>
      <c r="K16" s="17">
        <v>-29.1</v>
      </c>
      <c r="L16" s="17">
        <f>I16+H16</f>
        <v>268.7</v>
      </c>
      <c r="M16" s="17">
        <f>AVERAGE(L13:L16)</f>
        <v>45.4</v>
      </c>
      <c r="N16" s="17">
        <f>-K16+N15</f>
        <v>-787.1</v>
      </c>
    </row>
    <row r="17" ht="20.15" customHeight="1">
      <c r="B17" s="31"/>
      <c r="C17" s="36">
        <f>5045-C16</f>
        <v>2616</v>
      </c>
      <c r="D17" s="36">
        <f>2857-D16</f>
        <v>1502</v>
      </c>
      <c r="E17" s="36">
        <f>64-168+65-1711-87+20+5982+51+1638+1657-E16</f>
        <v>3186</v>
      </c>
      <c r="F17" s="16">
        <v>1120</v>
      </c>
      <c r="G17" s="17">
        <v>-791.4</v>
      </c>
      <c r="H17" s="17">
        <v>-136</v>
      </c>
      <c r="I17" s="17">
        <v>339</v>
      </c>
      <c r="J17" s="17">
        <v>-414</v>
      </c>
      <c r="K17" s="17">
        <v>3.9</v>
      </c>
      <c r="L17" s="17">
        <f>I17+H17</f>
        <v>203</v>
      </c>
      <c r="M17" s="17">
        <f>AVERAGE(L14:L17)</f>
        <v>88.40000000000001</v>
      </c>
      <c r="N17" s="17">
        <f>-K17+N16</f>
        <v>-791</v>
      </c>
    </row>
    <row r="18" ht="20.15" customHeight="1">
      <c r="B18" s="31"/>
      <c r="C18" s="36">
        <f>11136-SUM(C16:C17)</f>
        <v>6091</v>
      </c>
      <c r="D18" s="36">
        <f>4273-SUM(D16:D17)</f>
        <v>1416</v>
      </c>
      <c r="E18" s="36">
        <f>-264-527+66-2890+2+59+6439+82+2914+1977-SUM(E16:E17)</f>
        <v>347</v>
      </c>
      <c r="F18" s="16">
        <v>36.5</v>
      </c>
      <c r="G18" s="17">
        <v>255</v>
      </c>
      <c r="H18" s="17">
        <v>-170</v>
      </c>
      <c r="I18" s="17">
        <v>335.5</v>
      </c>
      <c r="J18" s="17">
        <v>315</v>
      </c>
      <c r="K18" s="17">
        <v>-954</v>
      </c>
      <c r="L18" s="17">
        <f>I18+H18</f>
        <v>165.5</v>
      </c>
      <c r="M18" s="17">
        <f>AVERAGE(L15:L18)</f>
        <v>121.3</v>
      </c>
      <c r="N18" s="17">
        <f>-K18+N17</f>
        <v>163</v>
      </c>
    </row>
    <row r="19" ht="20.15" customHeight="1">
      <c r="B19" s="31"/>
      <c r="C19" s="36">
        <f>18485-SUM(C16:C18)</f>
        <v>7349</v>
      </c>
      <c r="D19" s="36">
        <f>5741-SUM(D16:D18)</f>
        <v>1468</v>
      </c>
      <c r="E19" s="36">
        <f>-1961+47+41+113+348+7300+123+1239-SUM(E16:E18)</f>
        <v>-608</v>
      </c>
      <c r="F19" s="16">
        <v>118.8</v>
      </c>
      <c r="G19" s="17">
        <v>253.1</v>
      </c>
      <c r="H19" s="17">
        <v>-152</v>
      </c>
      <c r="I19" s="17">
        <v>277</v>
      </c>
      <c r="J19" s="17">
        <v>-1046</v>
      </c>
      <c r="K19" s="17">
        <v>693</v>
      </c>
      <c r="L19" s="17">
        <f>I19+H19</f>
        <v>125</v>
      </c>
      <c r="M19" s="17">
        <f>AVERAGE(L16:L19)</f>
        <v>190.55</v>
      </c>
      <c r="N19" s="17">
        <f>-K19+N18</f>
        <v>-530</v>
      </c>
    </row>
    <row r="20" ht="20.15" customHeight="1">
      <c r="B20" s="32">
        <v>2020</v>
      </c>
      <c r="C20" s="36">
        <v>4902</v>
      </c>
      <c r="D20" s="36">
        <v>1597</v>
      </c>
      <c r="E20" s="36">
        <f>11001-C20-D20-1335-477-6</f>
        <v>2684</v>
      </c>
      <c r="F20" s="16">
        <v>-8.4</v>
      </c>
      <c r="G20" s="17">
        <v>233</v>
      </c>
      <c r="H20" s="17">
        <v>-123</v>
      </c>
      <c r="I20" s="17">
        <v>246.8</v>
      </c>
      <c r="J20" s="17">
        <v>466.1</v>
      </c>
      <c r="K20" s="17">
        <v>964</v>
      </c>
      <c r="L20" s="17">
        <f>I20+H20</f>
        <v>123.8</v>
      </c>
      <c r="M20" s="17">
        <f>AVERAGE(L17:L20)</f>
        <v>154.325</v>
      </c>
      <c r="N20" s="17">
        <f>-K20+N19</f>
        <v>-1494</v>
      </c>
    </row>
    <row r="21" ht="20.15" customHeight="1">
      <c r="B21" s="31"/>
      <c r="C21" s="36"/>
      <c r="D21" s="36"/>
      <c r="E21" s="36"/>
      <c r="F21" s="16">
        <v>-1377.6</v>
      </c>
      <c r="G21" s="17">
        <v>1382.9</v>
      </c>
      <c r="H21" s="17">
        <v>-164</v>
      </c>
      <c r="I21" s="17">
        <v>201.2</v>
      </c>
      <c r="J21" s="17">
        <v>-579.1</v>
      </c>
      <c r="K21" s="17">
        <v>25</v>
      </c>
      <c r="L21" s="17">
        <f>I21+H21</f>
        <v>37.2</v>
      </c>
      <c r="M21" s="17">
        <f>AVERAGE(L18:L21)</f>
        <v>112.875</v>
      </c>
      <c r="N21" s="17">
        <f>-K21+N20</f>
        <v>-1519</v>
      </c>
    </row>
    <row r="22" ht="20.15" customHeight="1">
      <c r="B22" s="31"/>
      <c r="C22" s="36"/>
      <c r="D22" s="36"/>
      <c r="E22" s="36"/>
      <c r="F22" s="16">
        <v>29</v>
      </c>
      <c r="G22" s="17">
        <v>256.4</v>
      </c>
      <c r="H22" s="17">
        <v>-291</v>
      </c>
      <c r="I22" s="17">
        <v>215</v>
      </c>
      <c r="J22" s="17">
        <v>-1120</v>
      </c>
      <c r="K22" s="17">
        <v>-8</v>
      </c>
      <c r="L22" s="17">
        <f>I22+H22</f>
        <v>-76</v>
      </c>
      <c r="M22" s="17">
        <f>AVERAGE(L19:L22)</f>
        <v>52.5</v>
      </c>
      <c r="N22" s="17">
        <f>-K22+N21</f>
        <v>-1511</v>
      </c>
    </row>
    <row r="23" ht="20.15" customHeight="1">
      <c r="B23" s="31"/>
      <c r="C23" s="36"/>
      <c r="D23" s="36"/>
      <c r="E23" s="36"/>
      <c r="F23" s="16">
        <v>222</v>
      </c>
      <c r="G23" s="17">
        <f>129+128+27+2-5-3</f>
        <v>278</v>
      </c>
      <c r="H23" s="17">
        <v>-296</v>
      </c>
      <c r="I23" s="17">
        <v>330</v>
      </c>
      <c r="J23" s="17">
        <v>-328</v>
      </c>
      <c r="K23" s="17">
        <v>-226</v>
      </c>
      <c r="L23" s="17">
        <f>I23+H23</f>
        <v>34</v>
      </c>
      <c r="M23" s="17">
        <f>AVERAGE(L20:L23)</f>
        <v>29.75</v>
      </c>
      <c r="N23" s="17">
        <f>-K23+N22</f>
        <v>-1285</v>
      </c>
    </row>
    <row r="24" ht="20.15" customHeight="1">
      <c r="B24" s="32">
        <v>2021</v>
      </c>
      <c r="C24" s="36"/>
      <c r="D24" s="36"/>
      <c r="E24" s="36"/>
      <c r="F24" s="16">
        <v>68</v>
      </c>
      <c r="G24" s="17">
        <f>131+111-1-24+5</f>
        <v>222</v>
      </c>
      <c r="H24" s="17">
        <v>-181</v>
      </c>
      <c r="I24" s="17">
        <v>390</v>
      </c>
      <c r="J24" s="17">
        <v>680</v>
      </c>
      <c r="K24" s="17">
        <v>1198</v>
      </c>
      <c r="L24" s="17">
        <f>I24+H24</f>
        <v>209</v>
      </c>
      <c r="M24" s="17">
        <f>AVERAGE(L21:L24)</f>
        <v>51.05</v>
      </c>
      <c r="N24" s="17">
        <f>-K24+N23</f>
        <v>-2483</v>
      </c>
    </row>
    <row r="25" ht="20.15" customHeight="1">
      <c r="B25" s="31"/>
      <c r="C25" s="36"/>
      <c r="D25" s="36"/>
      <c r="E25" s="36"/>
      <c r="F25" s="16">
        <v>66</v>
      </c>
      <c r="G25" s="17">
        <v>261</v>
      </c>
      <c r="H25" s="17">
        <v>-279</v>
      </c>
      <c r="I25" s="17">
        <v>382</v>
      </c>
      <c r="J25" s="17">
        <v>-210</v>
      </c>
      <c r="K25" s="17">
        <v>-299</v>
      </c>
      <c r="L25" s="17">
        <f>I25+H25</f>
        <v>103</v>
      </c>
      <c r="M25" s="17">
        <f>AVERAGE(L22:L25)</f>
        <v>67.5</v>
      </c>
      <c r="N25" s="17">
        <f>-K25+N24</f>
        <v>-2184</v>
      </c>
    </row>
    <row r="26" ht="20.15" customHeight="1">
      <c r="B26" s="31"/>
      <c r="C26" s="36"/>
      <c r="D26" s="36"/>
      <c r="E26" s="36"/>
      <c r="F26" s="16">
        <v>-537</v>
      </c>
      <c r="G26" s="17">
        <f>133+164+2-200-25</f>
        <v>74</v>
      </c>
      <c r="H26" s="17">
        <v>-411</v>
      </c>
      <c r="I26" s="17">
        <v>389</v>
      </c>
      <c r="J26" s="17">
        <v>94</v>
      </c>
      <c r="K26" s="17">
        <v>-1130</v>
      </c>
      <c r="L26" s="17">
        <f>I26+H26</f>
        <v>-22</v>
      </c>
      <c r="M26" s="17">
        <f>AVERAGE(L23:L26)</f>
        <v>81</v>
      </c>
      <c r="N26" s="17">
        <f>-K26+N25</f>
        <v>-1054</v>
      </c>
    </row>
    <row r="27" ht="20.15" customHeight="1">
      <c r="B27" s="31"/>
      <c r="C27" s="36"/>
      <c r="D27" s="36"/>
      <c r="E27" s="36"/>
      <c r="F27" s="16"/>
      <c r="G27" s="17"/>
      <c r="H27" s="17"/>
      <c r="I27" s="17"/>
      <c r="J27" s="17"/>
      <c r="K27" s="17"/>
      <c r="L27" s="21"/>
      <c r="M27" s="17">
        <f>'Model'!F9+'Model'!F10</f>
        <v>65.481593607497</v>
      </c>
      <c r="N27" s="17">
        <f>'Model'!F32</f>
        <v>-843.2079754835499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2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7" customWidth="1"/>
    <col min="2" max="2" width="7.53906" style="37" customWidth="1"/>
    <col min="3" max="6" width="9.98438" style="37" customWidth="1"/>
    <col min="7" max="7" hidden="1" width="16.3333" style="37" customWidth="1"/>
    <col min="8" max="12" width="9.98438" style="37" customWidth="1"/>
    <col min="13" max="16384" width="16.3516" style="37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32.25" customHeight="1">
      <c r="B3" t="s" s="26">
        <v>1</v>
      </c>
      <c r="C3" t="s" s="26">
        <v>55</v>
      </c>
      <c r="D3" t="s" s="26">
        <v>56</v>
      </c>
      <c r="E3" t="s" s="26">
        <v>57</v>
      </c>
      <c r="F3" t="s" s="26">
        <v>23</v>
      </c>
      <c r="G3" t="s" s="3">
        <v>58</v>
      </c>
      <c r="H3" t="s" s="26">
        <v>11</v>
      </c>
      <c r="I3" t="s" s="26">
        <v>25</v>
      </c>
      <c r="J3" t="s" s="26">
        <v>26</v>
      </c>
      <c r="K3" t="s" s="26">
        <v>59</v>
      </c>
      <c r="L3" t="s" s="26">
        <v>34</v>
      </c>
    </row>
    <row r="4" ht="20.25" customHeight="1">
      <c r="B4" s="27">
        <v>2016</v>
      </c>
      <c r="C4" s="35"/>
      <c r="D4" s="29"/>
      <c r="E4" s="29"/>
      <c r="F4" s="29"/>
      <c r="G4" s="38">
        <v>52075</v>
      </c>
      <c r="H4" s="29"/>
      <c r="I4" s="29"/>
      <c r="J4" s="29"/>
      <c r="K4" s="29"/>
      <c r="L4" s="29"/>
    </row>
    <row r="5" ht="20.05" customHeight="1">
      <c r="B5" s="31"/>
      <c r="C5" s="16"/>
      <c r="D5" s="17"/>
      <c r="E5" s="17"/>
      <c r="F5" s="17"/>
      <c r="G5" s="13">
        <v>55739</v>
      </c>
      <c r="H5" s="17"/>
      <c r="I5" s="17"/>
      <c r="J5" s="17"/>
      <c r="K5" s="17"/>
      <c r="L5" s="17"/>
    </row>
    <row r="6" ht="20.05" customHeight="1">
      <c r="B6" s="31"/>
      <c r="C6" s="16"/>
      <c r="D6" s="17"/>
      <c r="E6" s="17"/>
      <c r="F6" s="17"/>
      <c r="G6" s="13">
        <v>59674</v>
      </c>
      <c r="H6" s="17"/>
      <c r="I6" s="17"/>
      <c r="J6" s="17"/>
      <c r="K6" s="17"/>
      <c r="L6" s="17"/>
    </row>
    <row r="7" ht="20.05" customHeight="1">
      <c r="B7" s="31"/>
      <c r="C7" s="16">
        <v>989</v>
      </c>
      <c r="D7" s="17">
        <v>6870</v>
      </c>
      <c r="E7" s="17">
        <f>D7-C7</f>
        <v>5881</v>
      </c>
      <c r="F7" s="17">
        <f>F6+'Cashflow '!G7</f>
        <v>278.8</v>
      </c>
      <c r="G7" s="13">
        <v>64961</v>
      </c>
      <c r="H7" s="17">
        <v>2265</v>
      </c>
      <c r="I7" s="17">
        <v>4605</v>
      </c>
      <c r="J7" s="17">
        <f>H7+I7-C7-E7</f>
        <v>0</v>
      </c>
      <c r="K7" s="17">
        <f>C7-H7</f>
        <v>-1276</v>
      </c>
      <c r="L7" s="17"/>
    </row>
    <row r="8" ht="20.05" customHeight="1">
      <c r="B8" s="32">
        <v>2017</v>
      </c>
      <c r="C8" s="16">
        <v>1192</v>
      </c>
      <c r="D8" s="17">
        <v>6893</v>
      </c>
      <c r="E8" s="17">
        <f>D8-C8</f>
        <v>5701</v>
      </c>
      <c r="F8" s="17">
        <f>F7+'Cashflow '!G8</f>
        <v>519.1</v>
      </c>
      <c r="G8" s="13">
        <v>68714</v>
      </c>
      <c r="H8" s="17">
        <v>2202</v>
      </c>
      <c r="I8" s="17">
        <v>4690</v>
      </c>
      <c r="J8" s="17">
        <f>H8+I8-C8-E8</f>
        <v>-1</v>
      </c>
      <c r="K8" s="17">
        <f>C8-H8</f>
        <v>-1010</v>
      </c>
      <c r="L8" s="17"/>
    </row>
    <row r="9" ht="20.05" customHeight="1">
      <c r="B9" s="31"/>
      <c r="C9" s="16">
        <v>1288</v>
      </c>
      <c r="D9" s="17">
        <v>6963</v>
      </c>
      <c r="E9" s="17">
        <f>D9-C9</f>
        <v>5675</v>
      </c>
      <c r="F9" s="17">
        <f>F8+'Cashflow '!G9</f>
        <v>755.1</v>
      </c>
      <c r="G9" s="13">
        <v>73843</v>
      </c>
      <c r="H9" s="17">
        <v>2234</v>
      </c>
      <c r="I9" s="17">
        <v>4729</v>
      </c>
      <c r="J9" s="17">
        <f>H9+I9-C9-E9</f>
        <v>0</v>
      </c>
      <c r="K9" s="17">
        <f>C9-H9</f>
        <v>-946</v>
      </c>
      <c r="L9" s="17"/>
    </row>
    <row r="10" ht="20.05" customHeight="1">
      <c r="B10" s="31"/>
      <c r="C10" s="16">
        <v>1587</v>
      </c>
      <c r="D10" s="17">
        <v>7075</v>
      </c>
      <c r="E10" s="17">
        <f>D10-C10</f>
        <v>5488</v>
      </c>
      <c r="F10" s="17">
        <f>F9+'Cashflow '!G10</f>
        <v>972.8</v>
      </c>
      <c r="G10" s="13">
        <v>78998</v>
      </c>
      <c r="H10" s="17">
        <v>2246</v>
      </c>
      <c r="I10" s="17">
        <v>4829</v>
      </c>
      <c r="J10" s="17">
        <f>H10+I10-C10-E10</f>
        <v>0</v>
      </c>
      <c r="K10" s="17">
        <f>C10-H10</f>
        <v>-659</v>
      </c>
      <c r="L10" s="17"/>
    </row>
    <row r="11" ht="20.05" customHeight="1">
      <c r="B11" s="31"/>
      <c r="C11" s="16">
        <v>1638</v>
      </c>
      <c r="D11" s="17">
        <v>7412</v>
      </c>
      <c r="E11" s="17">
        <f>D11-C11</f>
        <v>5774</v>
      </c>
      <c r="F11" s="17">
        <f>F10+'Cashflow '!G11</f>
        <v>1189.8</v>
      </c>
      <c r="G11" s="13">
        <v>84524</v>
      </c>
      <c r="H11" s="17">
        <v>2365</v>
      </c>
      <c r="I11" s="17">
        <v>5047</v>
      </c>
      <c r="J11" s="17">
        <f>H11+I11-C11-E11</f>
        <v>0</v>
      </c>
      <c r="K11" s="17">
        <f>C11-H11</f>
        <v>-727</v>
      </c>
      <c r="L11" s="17"/>
    </row>
    <row r="12" ht="20.05" customHeight="1">
      <c r="B12" s="32">
        <v>2018</v>
      </c>
      <c r="C12" s="16">
        <v>1601</v>
      </c>
      <c r="D12" s="17">
        <v>7539</v>
      </c>
      <c r="E12" s="17">
        <f>D12-C12</f>
        <v>5938</v>
      </c>
      <c r="F12" s="17">
        <f>F11+'Cashflow '!G12</f>
        <v>1379.8</v>
      </c>
      <c r="G12" s="13">
        <v>88945</v>
      </c>
      <c r="H12" s="17">
        <v>2329</v>
      </c>
      <c r="I12" s="17">
        <v>5210</v>
      </c>
      <c r="J12" s="17">
        <f>H12+I12-C12-E12</f>
        <v>0</v>
      </c>
      <c r="K12" s="17">
        <f>C12-H12</f>
        <v>-728</v>
      </c>
      <c r="L12" s="17"/>
    </row>
    <row r="13" ht="20.05" customHeight="1">
      <c r="B13" s="31"/>
      <c r="C13" s="16">
        <v>2545</v>
      </c>
      <c r="D13" s="17">
        <v>8861</v>
      </c>
      <c r="E13" s="17">
        <f>D13-C13</f>
        <v>6316</v>
      </c>
      <c r="F13" s="17">
        <f>F12+'Cashflow '!G13</f>
        <v>1546.7</v>
      </c>
      <c r="G13" s="13">
        <v>90291</v>
      </c>
      <c r="H13" s="17">
        <v>3290</v>
      </c>
      <c r="I13" s="17">
        <v>5571</v>
      </c>
      <c r="J13" s="17">
        <f>H13+I13-C13-E13</f>
        <v>0</v>
      </c>
      <c r="K13" s="17">
        <f>C13-H13</f>
        <v>-745</v>
      </c>
      <c r="L13" s="17"/>
    </row>
    <row r="14" ht="20.05" customHeight="1">
      <c r="B14" s="31"/>
      <c r="C14" s="16">
        <v>1929</v>
      </c>
      <c r="D14" s="17">
        <v>9746</v>
      </c>
      <c r="E14" s="17">
        <f>D14-C14</f>
        <v>7817</v>
      </c>
      <c r="F14" s="17">
        <f>F13+'Cashflow '!G14</f>
        <v>1075.3</v>
      </c>
      <c r="G14" s="13">
        <v>92452</v>
      </c>
      <c r="H14" s="17">
        <v>3294</v>
      </c>
      <c r="I14" s="17">
        <v>6453</v>
      </c>
      <c r="J14" s="17">
        <f>H14+I14-C14-E14</f>
        <v>1</v>
      </c>
      <c r="K14" s="17">
        <f>C14-H14</f>
        <v>-1365</v>
      </c>
      <c r="L14" s="17"/>
    </row>
    <row r="15" ht="20.05" customHeight="1">
      <c r="B15" s="31"/>
      <c r="C15" s="16">
        <v>1894</v>
      </c>
      <c r="D15" s="17">
        <v>10163</v>
      </c>
      <c r="E15" s="17">
        <f>D15-C15</f>
        <v>8269</v>
      </c>
      <c r="F15" s="17">
        <f>F14+'Cashflow '!G15</f>
        <v>1365.7</v>
      </c>
      <c r="G15" s="13">
        <v>97334</v>
      </c>
      <c r="H15" s="17">
        <v>3357</v>
      </c>
      <c r="I15" s="17">
        <v>6806</v>
      </c>
      <c r="J15" s="17">
        <f>H15+I15-C15-E15</f>
        <v>0</v>
      </c>
      <c r="K15" s="17">
        <f>C15-H15</f>
        <v>-1463</v>
      </c>
      <c r="L15" s="17"/>
    </row>
    <row r="16" ht="20.05" customHeight="1">
      <c r="B16" s="32">
        <v>2019</v>
      </c>
      <c r="C16" s="16">
        <v>2248</v>
      </c>
      <c r="D16" s="17">
        <v>11145</v>
      </c>
      <c r="E16" s="17">
        <f>D16-C16</f>
        <v>8897</v>
      </c>
      <c r="F16" s="17">
        <f>F15+'Cashflow '!G16</f>
        <v>1608</v>
      </c>
      <c r="G16" s="13">
        <v>109477</v>
      </c>
      <c r="H16" s="17">
        <v>4056</v>
      </c>
      <c r="I16" s="17">
        <v>7089</v>
      </c>
      <c r="J16" s="17">
        <f>H16+I16-C16-E16</f>
        <v>0</v>
      </c>
      <c r="K16" s="17">
        <f>C16-H16</f>
        <v>-1808</v>
      </c>
      <c r="L16" s="17"/>
    </row>
    <row r="17" ht="20.05" customHeight="1">
      <c r="B17" s="31"/>
      <c r="C17" s="16">
        <v>2183</v>
      </c>
      <c r="D17" s="17">
        <v>12522</v>
      </c>
      <c r="E17" s="17">
        <f>D17-C17</f>
        <v>10339</v>
      </c>
      <c r="F17" s="17">
        <f>F16+'Cashflow '!G17</f>
        <v>816.6</v>
      </c>
      <c r="G17" s="13">
        <v>117006</v>
      </c>
      <c r="H17" s="17">
        <v>4177</v>
      </c>
      <c r="I17" s="17">
        <v>8345</v>
      </c>
      <c r="J17" s="17">
        <f>H17+I17-C17-E17</f>
        <v>0</v>
      </c>
      <c r="K17" s="17">
        <f>C17-H17</f>
        <v>-1994</v>
      </c>
      <c r="L17" s="17"/>
    </row>
    <row r="18" ht="20.05" customHeight="1">
      <c r="B18" s="31"/>
      <c r="C18" s="16">
        <v>1869</v>
      </c>
      <c r="D18" s="17">
        <v>11601</v>
      </c>
      <c r="E18" s="17">
        <f>D18-C18</f>
        <v>9732</v>
      </c>
      <c r="F18" s="17">
        <f>F17+'Cashflow '!G18</f>
        <v>1071.6</v>
      </c>
      <c r="G18" s="13">
        <v>124418</v>
      </c>
      <c r="H18" s="17">
        <v>3185</v>
      </c>
      <c r="I18" s="17">
        <v>8416</v>
      </c>
      <c r="J18" s="17">
        <f>H18+I18-C18-E18</f>
        <v>0</v>
      </c>
      <c r="K18" s="17">
        <f>C18-H18</f>
        <v>-1316</v>
      </c>
      <c r="L18" s="17"/>
    </row>
    <row r="19" ht="20.05" customHeight="1">
      <c r="B19" s="31"/>
      <c r="C19" s="16">
        <v>1799</v>
      </c>
      <c r="D19" s="17">
        <v>12703</v>
      </c>
      <c r="E19" s="17">
        <f>D19-C19</f>
        <v>10904</v>
      </c>
      <c r="F19" s="17">
        <f>F18+'Cashflow '!G19</f>
        <v>1324.7</v>
      </c>
      <c r="G19" s="13">
        <v>133376</v>
      </c>
      <c r="H19" s="17">
        <v>3999</v>
      </c>
      <c r="I19" s="17">
        <v>8704</v>
      </c>
      <c r="J19" s="17">
        <f>H19+I19-C19-E19</f>
        <v>0</v>
      </c>
      <c r="K19" s="17">
        <f>C19-H19</f>
        <v>-2200</v>
      </c>
      <c r="L19" s="17"/>
    </row>
    <row r="20" ht="20.05" customHeight="1">
      <c r="B20" s="32">
        <v>2020</v>
      </c>
      <c r="C20" s="16">
        <v>3463</v>
      </c>
      <c r="D20" s="17">
        <v>13541</v>
      </c>
      <c r="E20" s="17">
        <f>D20-C20</f>
        <v>10078</v>
      </c>
      <c r="F20" s="17">
        <f>F19+'Cashflow '!G20</f>
        <v>1557.7</v>
      </c>
      <c r="G20" s="13">
        <v>138371</v>
      </c>
      <c r="H20" s="17">
        <v>4745</v>
      </c>
      <c r="I20" s="17">
        <v>8796</v>
      </c>
      <c r="J20" s="17">
        <f>H20+I20-C20-E20</f>
        <v>0</v>
      </c>
      <c r="K20" s="17">
        <f>C20-H20</f>
        <v>-1282</v>
      </c>
      <c r="L20" s="17"/>
    </row>
    <row r="21" ht="20.05" customHeight="1">
      <c r="B21" s="31"/>
      <c r="C21" s="16">
        <v>3112</v>
      </c>
      <c r="D21" s="17">
        <v>12548</v>
      </c>
      <c r="E21" s="17">
        <f>D21-C21</f>
        <v>9436</v>
      </c>
      <c r="F21" s="17">
        <f>F20+'Cashflow '!G21</f>
        <v>2940.6</v>
      </c>
      <c r="G21" s="13"/>
      <c r="H21" s="17">
        <v>4890</v>
      </c>
      <c r="I21" s="17">
        <v>7658</v>
      </c>
      <c r="J21" s="17">
        <f>H21+I21-C21-E21</f>
        <v>0</v>
      </c>
      <c r="K21" s="17">
        <f>C21-H21</f>
        <v>-1778</v>
      </c>
      <c r="L21" s="17"/>
    </row>
    <row r="22" ht="20.05" customHeight="1">
      <c r="B22" s="31"/>
      <c r="C22" s="16">
        <v>2201</v>
      </c>
      <c r="D22" s="17">
        <v>13089</v>
      </c>
      <c r="E22" s="17">
        <f>D22-C22</f>
        <v>10888</v>
      </c>
      <c r="F22" s="17">
        <f>F21+'Cashflow '!G22</f>
        <v>3197</v>
      </c>
      <c r="G22" s="13"/>
      <c r="H22" s="17">
        <v>5277</v>
      </c>
      <c r="I22" s="17">
        <v>7812</v>
      </c>
      <c r="J22" s="17">
        <f>H22+I22-C22-E22</f>
        <v>0</v>
      </c>
      <c r="K22" s="17">
        <f>C22-H22</f>
        <v>-3076</v>
      </c>
      <c r="L22" s="17"/>
    </row>
    <row r="23" ht="20.05" customHeight="1">
      <c r="B23" s="31"/>
      <c r="C23" s="16">
        <v>1988</v>
      </c>
      <c r="D23" s="17">
        <v>13379</v>
      </c>
      <c r="E23" s="17">
        <f>D23-C23</f>
        <v>11391</v>
      </c>
      <c r="F23" s="17">
        <f>F22+'Cashflow '!G23</f>
        <v>3475</v>
      </c>
      <c r="G23" s="13"/>
      <c r="H23" s="17">
        <v>5409</v>
      </c>
      <c r="I23" s="17">
        <v>7970</v>
      </c>
      <c r="J23" s="17">
        <f>H23+I23-C23-E23</f>
        <v>0</v>
      </c>
      <c r="K23" s="17">
        <f>C23-H23</f>
        <v>-3421</v>
      </c>
      <c r="L23" s="17"/>
    </row>
    <row r="24" ht="20.05" customHeight="1">
      <c r="B24" s="32">
        <v>2021</v>
      </c>
      <c r="C24" s="16">
        <v>4249</v>
      </c>
      <c r="D24" s="17">
        <v>14984</v>
      </c>
      <c r="E24" s="17">
        <f>D24-C24</f>
        <v>10735</v>
      </c>
      <c r="F24" s="17">
        <f>F23+'Cashflow '!G24</f>
        <v>3697</v>
      </c>
      <c r="G24" s="13"/>
      <c r="H24" s="17">
        <v>7247</v>
      </c>
      <c r="I24" s="17">
        <v>7737</v>
      </c>
      <c r="J24" s="17">
        <f>H24+I24-C24-E24</f>
        <v>0</v>
      </c>
      <c r="K24" s="17">
        <f>C24-H24</f>
        <v>-2998</v>
      </c>
      <c r="L24" s="17"/>
    </row>
    <row r="25" ht="20.05" customHeight="1">
      <c r="B25" s="31"/>
      <c r="C25" s="16">
        <v>4126</v>
      </c>
      <c r="D25" s="17">
        <v>15323</v>
      </c>
      <c r="E25" s="17">
        <f>D25-C25</f>
        <v>11197</v>
      </c>
      <c r="F25" s="17">
        <f>F24+'Cashflow '!G25</f>
        <v>3958</v>
      </c>
      <c r="G25" s="13"/>
      <c r="H25" s="17">
        <v>7607</v>
      </c>
      <c r="I25" s="17">
        <v>7716</v>
      </c>
      <c r="J25" s="17">
        <f>H25+I25-C25-E25</f>
        <v>0</v>
      </c>
      <c r="K25" s="17">
        <f>C25-H25</f>
        <v>-3481</v>
      </c>
      <c r="L25" s="17"/>
    </row>
    <row r="26" ht="20.05" customHeight="1">
      <c r="B26" s="31"/>
      <c r="C26" s="16">
        <v>3473.9</v>
      </c>
      <c r="D26" s="17">
        <v>14589.3</v>
      </c>
      <c r="E26" s="17">
        <f>D26-C26</f>
        <v>11115.4</v>
      </c>
      <c r="F26" s="17">
        <f>F25+'Cashflow '!G26</f>
        <v>4032</v>
      </c>
      <c r="G26" s="13"/>
      <c r="H26" s="17">
        <v>7416.7</v>
      </c>
      <c r="I26" s="17">
        <v>7172.6</v>
      </c>
      <c r="J26" s="17">
        <f>H26+I26-C26-E26</f>
        <v>0</v>
      </c>
      <c r="K26" s="17">
        <f>C26-H26</f>
        <v>-3942.8</v>
      </c>
      <c r="L26" s="17">
        <f>K26</f>
        <v>-3942.8</v>
      </c>
    </row>
    <row r="27" ht="20.05" customHeight="1">
      <c r="B27" s="31"/>
      <c r="C27" s="16"/>
      <c r="D27" s="17"/>
      <c r="E27" s="17"/>
      <c r="F27" s="17"/>
      <c r="G27" s="13"/>
      <c r="H27" s="17"/>
      <c r="I27" s="17"/>
      <c r="J27" s="17"/>
      <c r="K27" s="17"/>
      <c r="L27" s="17">
        <f>'Model'!F30</f>
        <v>-4030.845582838480</v>
      </c>
    </row>
  </sheetData>
  <mergeCells count="1">
    <mergeCell ref="B2:L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9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9" customWidth="1"/>
    <col min="2" max="4" width="11.0547" style="39" customWidth="1"/>
    <col min="5" max="16384" width="16.3516" style="39" customWidth="1"/>
  </cols>
  <sheetData>
    <row r="1" ht="40" customHeight="1"/>
    <row r="2" ht="27.65" customHeight="1">
      <c r="B2" t="s" s="2">
        <v>60</v>
      </c>
      <c r="C2" s="2"/>
      <c r="D2" s="2"/>
    </row>
    <row r="3" ht="20.35" customHeight="1">
      <c r="B3" s="4"/>
      <c r="C3" t="s" s="40">
        <v>61</v>
      </c>
      <c r="D3" t="s" s="40">
        <v>62</v>
      </c>
    </row>
    <row r="4" ht="20.7" customHeight="1">
      <c r="B4" s="27">
        <v>2014</v>
      </c>
      <c r="C4" s="41">
        <v>64.5</v>
      </c>
      <c r="D4" s="42"/>
    </row>
    <row r="5" ht="20.7" customHeight="1">
      <c r="B5" s="31"/>
      <c r="C5" s="14">
        <v>54.91</v>
      </c>
      <c r="D5" s="43"/>
    </row>
    <row r="6" ht="20.7" customHeight="1">
      <c r="B6" s="31"/>
      <c r="C6" s="14">
        <v>46.669998</v>
      </c>
      <c r="D6" s="43"/>
    </row>
    <row r="7" ht="20.7" customHeight="1">
      <c r="B7" s="31"/>
      <c r="C7" s="14">
        <v>38.970001</v>
      </c>
      <c r="D7" s="43"/>
    </row>
    <row r="8" ht="20.7" customHeight="1">
      <c r="B8" s="31"/>
      <c r="C8" s="14">
        <v>32.439999</v>
      </c>
      <c r="D8" s="43"/>
    </row>
    <row r="9" ht="20.7" customHeight="1">
      <c r="B9" s="31"/>
      <c r="C9" s="14">
        <v>40.970001</v>
      </c>
      <c r="D9" s="43"/>
    </row>
    <row r="10" ht="20.7" customHeight="1">
      <c r="B10" s="31"/>
      <c r="C10" s="14">
        <v>45.189999</v>
      </c>
      <c r="D10" s="43"/>
    </row>
    <row r="11" ht="20.7" customHeight="1">
      <c r="B11" s="31"/>
      <c r="C11" s="14">
        <v>49.75</v>
      </c>
      <c r="D11" s="43"/>
    </row>
    <row r="12" ht="20.7" customHeight="1">
      <c r="B12" s="31"/>
      <c r="C12" s="14">
        <v>51.580002</v>
      </c>
      <c r="D12" s="43"/>
    </row>
    <row r="13" ht="20.7" customHeight="1">
      <c r="B13" s="31"/>
      <c r="C13" s="14">
        <v>41.470001</v>
      </c>
      <c r="D13" s="43"/>
    </row>
    <row r="14" ht="20.7" customHeight="1">
      <c r="B14" s="31"/>
      <c r="C14" s="14">
        <v>41.740002</v>
      </c>
      <c r="D14" s="43"/>
    </row>
    <row r="15" ht="20.7" customHeight="1">
      <c r="B15" s="31"/>
      <c r="C15" s="14">
        <v>35.869999</v>
      </c>
      <c r="D15" s="43"/>
    </row>
    <row r="16" ht="20.7" customHeight="1">
      <c r="B16" s="32">
        <v>2015</v>
      </c>
      <c r="C16" s="14">
        <v>37.529999</v>
      </c>
      <c r="D16" s="43"/>
    </row>
    <row r="17" ht="20.7" customHeight="1">
      <c r="B17" s="31"/>
      <c r="C17" s="14">
        <v>48.080002</v>
      </c>
      <c r="D17" s="43"/>
    </row>
    <row r="18" ht="20.7" customHeight="1">
      <c r="B18" s="31"/>
      <c r="C18" s="14">
        <v>50.080002</v>
      </c>
      <c r="D18" s="43"/>
    </row>
    <row r="19" ht="20.7" customHeight="1">
      <c r="B19" s="31"/>
      <c r="C19" s="14">
        <v>38.959999</v>
      </c>
      <c r="D19" s="43"/>
    </row>
    <row r="20" ht="20.7" customHeight="1">
      <c r="B20" s="31"/>
      <c r="C20" s="14">
        <v>36.669998</v>
      </c>
      <c r="D20" s="43"/>
    </row>
    <row r="21" ht="20.7" customHeight="1">
      <c r="B21" s="31"/>
      <c r="C21" s="14">
        <v>36.220001</v>
      </c>
      <c r="D21" s="43"/>
    </row>
    <row r="22" ht="20.7" customHeight="1">
      <c r="B22" s="31"/>
      <c r="C22" s="14">
        <v>31.01</v>
      </c>
      <c r="D22" s="43"/>
    </row>
    <row r="23" ht="20.7" customHeight="1">
      <c r="B23" s="31"/>
      <c r="C23" s="14">
        <v>26.459999</v>
      </c>
      <c r="D23" s="43"/>
    </row>
    <row r="24" ht="20.7" customHeight="1">
      <c r="B24" s="31"/>
      <c r="C24" s="14">
        <v>26.940001</v>
      </c>
      <c r="D24" s="43"/>
    </row>
    <row r="25" ht="20.7" customHeight="1">
      <c r="B25" s="31"/>
      <c r="C25" s="14">
        <v>28.459999</v>
      </c>
      <c r="D25" s="43"/>
    </row>
    <row r="26" ht="20.7" customHeight="1">
      <c r="B26" s="31"/>
      <c r="C26" s="14">
        <v>25.4</v>
      </c>
      <c r="D26" s="43"/>
    </row>
    <row r="27" ht="20.7" customHeight="1">
      <c r="B27" s="31"/>
      <c r="C27" s="14">
        <v>23.139999</v>
      </c>
      <c r="D27" s="43"/>
    </row>
    <row r="28" ht="20.7" customHeight="1">
      <c r="B28" s="32">
        <v>2016</v>
      </c>
      <c r="C28" s="14">
        <v>16.799999</v>
      </c>
      <c r="D28" s="43"/>
    </row>
    <row r="29" ht="20.7" customHeight="1">
      <c r="B29" s="31"/>
      <c r="C29" s="14">
        <v>18.120001</v>
      </c>
      <c r="D29" s="43"/>
    </row>
    <row r="30" ht="20.7" customHeight="1">
      <c r="B30" s="31"/>
      <c r="C30" s="14">
        <v>16.549999</v>
      </c>
      <c r="D30" s="43"/>
    </row>
    <row r="31" ht="20.7" customHeight="1">
      <c r="B31" s="31"/>
      <c r="C31" s="14">
        <v>14.62</v>
      </c>
      <c r="D31" s="43"/>
    </row>
    <row r="32" ht="20.7" customHeight="1">
      <c r="B32" s="31"/>
      <c r="C32" s="14">
        <v>15.22</v>
      </c>
      <c r="D32" s="43"/>
    </row>
    <row r="33" ht="20.7" customHeight="1">
      <c r="B33" s="31"/>
      <c r="C33" s="14">
        <v>16.91</v>
      </c>
      <c r="D33" s="43"/>
    </row>
    <row r="34" ht="20.7" customHeight="1">
      <c r="B34" s="31"/>
      <c r="C34" s="14">
        <v>16.639999</v>
      </c>
      <c r="D34" s="43"/>
    </row>
    <row r="35" ht="20.7" customHeight="1">
      <c r="B35" s="31"/>
      <c r="C35" s="14">
        <v>19.209999</v>
      </c>
      <c r="D35" s="43"/>
    </row>
    <row r="36" ht="20.7" customHeight="1">
      <c r="B36" s="31"/>
      <c r="C36" s="14">
        <v>23.049999</v>
      </c>
      <c r="D36" s="43"/>
    </row>
    <row r="37" ht="20.7" customHeight="1">
      <c r="B37" s="31"/>
      <c r="C37" s="14">
        <v>17.950001</v>
      </c>
      <c r="D37" s="43"/>
    </row>
    <row r="38" ht="20.7" customHeight="1">
      <c r="B38" s="31"/>
      <c r="C38" s="14">
        <v>18.49</v>
      </c>
      <c r="D38" s="43"/>
    </row>
    <row r="39" ht="20.7" customHeight="1">
      <c r="B39" s="31"/>
      <c r="C39" s="14">
        <v>16.299999</v>
      </c>
      <c r="D39" s="43"/>
    </row>
    <row r="40" ht="20.7" customHeight="1">
      <c r="B40" s="32">
        <v>2017</v>
      </c>
      <c r="C40" s="14">
        <v>17.620001</v>
      </c>
      <c r="D40" s="43"/>
    </row>
    <row r="41" ht="20.7" customHeight="1">
      <c r="B41" s="31"/>
      <c r="C41" s="14">
        <v>15.77</v>
      </c>
      <c r="D41" s="43"/>
    </row>
    <row r="42" ht="20.7" customHeight="1">
      <c r="B42" s="31"/>
      <c r="C42" s="14">
        <v>14.95</v>
      </c>
      <c r="D42" s="43"/>
    </row>
    <row r="43" ht="20.7" customHeight="1">
      <c r="B43" s="31"/>
      <c r="C43" s="14">
        <v>16.48</v>
      </c>
      <c r="D43" s="43"/>
    </row>
    <row r="44" ht="20.7" customHeight="1">
      <c r="B44" s="31"/>
      <c r="C44" s="14">
        <v>18.32</v>
      </c>
      <c r="D44" s="43"/>
    </row>
    <row r="45" ht="20.7" customHeight="1">
      <c r="B45" s="31"/>
      <c r="C45" s="14">
        <v>17.870001</v>
      </c>
      <c r="D45" s="43"/>
    </row>
    <row r="46" ht="20.7" customHeight="1">
      <c r="B46" s="31"/>
      <c r="C46" s="14">
        <v>16.09</v>
      </c>
      <c r="D46" s="43"/>
    </row>
    <row r="47" ht="20.7" customHeight="1">
      <c r="B47" s="31"/>
      <c r="C47" s="14">
        <v>16.91</v>
      </c>
      <c r="D47" s="43"/>
    </row>
    <row r="48" ht="20.7" customHeight="1">
      <c r="B48" s="31"/>
      <c r="C48" s="14">
        <v>16.870001</v>
      </c>
      <c r="D48" s="43"/>
    </row>
    <row r="49" ht="20.7" customHeight="1">
      <c r="B49" s="31"/>
      <c r="C49" s="14">
        <v>20.620001</v>
      </c>
      <c r="D49" s="43"/>
    </row>
    <row r="50" ht="20.7" customHeight="1">
      <c r="B50" s="31"/>
      <c r="C50" s="14">
        <v>20.58</v>
      </c>
      <c r="D50" s="43"/>
    </row>
    <row r="51" ht="20.7" customHeight="1">
      <c r="B51" s="31"/>
      <c r="C51" s="14">
        <v>24.01</v>
      </c>
      <c r="D51" s="43"/>
    </row>
    <row r="52" ht="20.7" customHeight="1">
      <c r="B52" s="32">
        <v>2018</v>
      </c>
      <c r="C52" s="14">
        <v>25.809999</v>
      </c>
      <c r="D52" s="43"/>
    </row>
    <row r="53" ht="20.7" customHeight="1">
      <c r="B53" s="31"/>
      <c r="C53" s="14">
        <v>31.860001</v>
      </c>
      <c r="D53" s="43"/>
    </row>
    <row r="54" ht="20.7" customHeight="1">
      <c r="B54" s="31"/>
      <c r="C54" s="14">
        <v>29.01</v>
      </c>
      <c r="D54" s="43"/>
    </row>
    <row r="55" ht="20.7" customHeight="1">
      <c r="B55" s="31"/>
      <c r="C55" s="14">
        <v>30.309999</v>
      </c>
      <c r="D55" s="43"/>
    </row>
    <row r="56" ht="20.7" customHeight="1">
      <c r="B56" s="31"/>
      <c r="C56" s="14">
        <v>34.700001</v>
      </c>
      <c r="D56" s="43"/>
    </row>
    <row r="57" ht="20.7" customHeight="1">
      <c r="B57" s="31"/>
      <c r="C57" s="14">
        <v>43.669998</v>
      </c>
      <c r="D57" s="43"/>
    </row>
    <row r="58" ht="20.7" customHeight="1">
      <c r="B58" s="31"/>
      <c r="C58" s="14">
        <v>31.870001</v>
      </c>
      <c r="D58" s="43"/>
    </row>
    <row r="59" ht="20.7" customHeight="1">
      <c r="B59" s="31"/>
      <c r="C59" s="14">
        <v>35.18</v>
      </c>
      <c r="D59" s="43"/>
    </row>
    <row r="60" ht="20.7" customHeight="1">
      <c r="B60" s="31"/>
      <c r="C60" s="14">
        <v>28.459999</v>
      </c>
      <c r="D60" s="43"/>
    </row>
    <row r="61" ht="20.7" customHeight="1">
      <c r="B61" s="31"/>
      <c r="C61" s="14">
        <v>34.75</v>
      </c>
      <c r="D61" s="43"/>
    </row>
    <row r="62" ht="20.7" customHeight="1">
      <c r="B62" s="31"/>
      <c r="C62" s="14">
        <v>31.450001</v>
      </c>
      <c r="D62" s="43"/>
    </row>
    <row r="63" ht="20.7" customHeight="1">
      <c r="B63" s="31"/>
      <c r="C63" s="14">
        <v>28.74</v>
      </c>
      <c r="D63" s="43"/>
    </row>
    <row r="64" ht="20.7" customHeight="1">
      <c r="B64" s="32">
        <v>2019</v>
      </c>
      <c r="C64" s="14">
        <v>33.560001</v>
      </c>
      <c r="D64" s="43"/>
    </row>
    <row r="65" ht="20.7" customHeight="1">
      <c r="B65" s="31"/>
      <c r="C65" s="14">
        <v>30.780001</v>
      </c>
      <c r="D65" s="43"/>
    </row>
    <row r="66" ht="20.7" customHeight="1">
      <c r="B66" s="31"/>
      <c r="C66" s="14">
        <v>32.880001</v>
      </c>
      <c r="D66" s="43"/>
    </row>
    <row r="67" ht="20.7" customHeight="1">
      <c r="B67" s="31"/>
      <c r="C67" s="14">
        <v>39.91</v>
      </c>
      <c r="D67" s="43"/>
    </row>
    <row r="68" ht="20.7" customHeight="1">
      <c r="B68" s="31"/>
      <c r="C68" s="14">
        <v>36.439999</v>
      </c>
      <c r="D68" s="43"/>
    </row>
    <row r="69" ht="20.7" customHeight="1">
      <c r="B69" s="31"/>
      <c r="C69" s="14">
        <v>34.900002</v>
      </c>
      <c r="D69" s="44"/>
    </row>
    <row r="70" ht="20.7" customHeight="1">
      <c r="B70" s="31"/>
      <c r="C70" s="14">
        <v>42.310001</v>
      </c>
      <c r="D70" s="43"/>
    </row>
    <row r="71" ht="20.7" customHeight="1">
      <c r="B71" s="31"/>
      <c r="C71" s="14">
        <v>42.650002</v>
      </c>
      <c r="D71" s="43"/>
    </row>
    <row r="72" ht="20.7" customHeight="1">
      <c r="B72" s="31"/>
      <c r="C72" s="14">
        <v>41.200001</v>
      </c>
      <c r="D72" s="43"/>
    </row>
    <row r="73" ht="20.7" customHeight="1">
      <c r="B73" s="31"/>
      <c r="C73" s="14">
        <v>29.969999</v>
      </c>
      <c r="D73" s="43"/>
    </row>
    <row r="74" ht="20.7" customHeight="1">
      <c r="B74" s="31"/>
      <c r="C74" s="14">
        <v>30.91</v>
      </c>
      <c r="D74" s="43"/>
    </row>
    <row r="75" ht="20.7" customHeight="1">
      <c r="B75" s="31"/>
      <c r="C75" s="14">
        <v>32.049999</v>
      </c>
      <c r="D75" s="43"/>
    </row>
    <row r="76" ht="20.35" customHeight="1">
      <c r="B76" s="32">
        <v>2020</v>
      </c>
      <c r="C76" s="14">
        <v>32.48</v>
      </c>
      <c r="D76" s="45"/>
    </row>
    <row r="77" ht="20.05" customHeight="1">
      <c r="B77" s="31"/>
      <c r="C77" s="14">
        <v>33.200001</v>
      </c>
      <c r="D77" s="15"/>
    </row>
    <row r="78" ht="20.05" customHeight="1">
      <c r="B78" s="31"/>
      <c r="C78" s="14">
        <v>24.559999</v>
      </c>
      <c r="D78" s="15"/>
    </row>
    <row r="79" ht="20.05" customHeight="1">
      <c r="B79" s="31"/>
      <c r="C79" s="14">
        <v>28.68</v>
      </c>
      <c r="D79" s="17">
        <v>34.202148065969</v>
      </c>
    </row>
    <row r="80" ht="20.05" customHeight="1">
      <c r="B80" s="31"/>
      <c r="C80" s="14">
        <v>30.969999</v>
      </c>
      <c r="D80" s="17">
        <v>34.202148065969</v>
      </c>
    </row>
    <row r="81" ht="20.05" customHeight="1">
      <c r="B81" s="31"/>
      <c r="C81" s="14">
        <v>29.79</v>
      </c>
      <c r="D81" s="17">
        <v>34.202148065969</v>
      </c>
    </row>
    <row r="82" ht="20.05" customHeight="1">
      <c r="B82" s="31"/>
      <c r="C82" s="14">
        <v>36.400002</v>
      </c>
      <c r="D82" s="17">
        <v>42.0841052955665</v>
      </c>
    </row>
    <row r="83" ht="20.05" customHeight="1">
      <c r="B83" s="31"/>
      <c r="C83" s="14">
        <v>40.580002</v>
      </c>
      <c r="D83" s="17">
        <v>42.0841052955665</v>
      </c>
    </row>
    <row r="84" ht="20.05" customHeight="1">
      <c r="B84" s="31"/>
      <c r="C84" s="14">
        <v>44.5</v>
      </c>
      <c r="D84" s="17">
        <v>42.0841052955665</v>
      </c>
    </row>
    <row r="85" ht="20.05" customHeight="1">
      <c r="B85" s="31"/>
      <c r="C85" s="14">
        <v>41.36</v>
      </c>
      <c r="D85" s="17">
        <v>51.494527667380</v>
      </c>
    </row>
    <row r="86" ht="20.05" customHeight="1">
      <c r="B86" s="31"/>
      <c r="C86" s="14">
        <v>46.5</v>
      </c>
      <c r="D86" s="17">
        <v>51.494527667380</v>
      </c>
    </row>
    <row r="87" ht="20.05" customHeight="1">
      <c r="B87" s="31"/>
      <c r="C87" s="14">
        <v>54.15</v>
      </c>
      <c r="D87" s="17">
        <v>51.494527667380</v>
      </c>
    </row>
    <row r="88" ht="20.05" customHeight="1">
      <c r="B88" s="32">
        <v>2021</v>
      </c>
      <c r="C88" s="16">
        <v>50.529999</v>
      </c>
      <c r="D88" s="17">
        <v>51.494527667380</v>
      </c>
    </row>
    <row r="89" ht="20.05" customHeight="1">
      <c r="B89" s="31"/>
      <c r="C89" s="16">
        <v>77.05999799999999</v>
      </c>
      <c r="D89" s="17">
        <v>71.2505396616732</v>
      </c>
    </row>
    <row r="90" ht="20.05" customHeight="1">
      <c r="B90" s="31"/>
      <c r="C90" s="16">
        <v>63.630001</v>
      </c>
      <c r="D90" s="17">
        <v>71.2505396616732</v>
      </c>
    </row>
    <row r="91" ht="20.05" customHeight="1">
      <c r="B91" s="31"/>
      <c r="C91" s="16">
        <v>55.220001</v>
      </c>
      <c r="D91" s="17">
        <v>71.2505396616732</v>
      </c>
    </row>
    <row r="92" ht="20.05" customHeight="1">
      <c r="B92" s="31"/>
      <c r="C92" s="16">
        <v>58</v>
      </c>
      <c r="D92" s="17">
        <v>71.2505396616732</v>
      </c>
    </row>
    <row r="93" ht="20.05" customHeight="1">
      <c r="B93" s="31"/>
      <c r="C93" s="16">
        <v>68.80999799999999</v>
      </c>
      <c r="D93" s="17">
        <v>71.2505396616732</v>
      </c>
    </row>
    <row r="94" ht="20.05" customHeight="1">
      <c r="B94" s="31"/>
      <c r="C94" s="16">
        <v>69.75</v>
      </c>
      <c r="D94" s="17">
        <v>77.9927530709644</v>
      </c>
    </row>
    <row r="95" ht="20.05" customHeight="1">
      <c r="B95" s="31"/>
      <c r="C95" s="16">
        <v>65.55</v>
      </c>
      <c r="D95" s="17"/>
    </row>
    <row r="96" ht="20.05" customHeight="1">
      <c r="B96" s="31"/>
      <c r="C96" s="16">
        <v>61.98</v>
      </c>
      <c r="D96" s="17"/>
    </row>
    <row r="97" ht="20.05" customHeight="1">
      <c r="B97" s="31"/>
      <c r="C97" s="16">
        <v>61.43</v>
      </c>
      <c r="D97" s="17">
        <f>C97</f>
        <v>61.43</v>
      </c>
    </row>
    <row r="98" ht="20.05" customHeight="1">
      <c r="B98" s="31"/>
      <c r="C98" s="16"/>
      <c r="D98" s="17">
        <f>'Model'!F42</f>
        <v>26.4156549694931</v>
      </c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