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 " sheetId="4" r:id="rId7"/>
    <sheet name="Share price" sheetId="5" r:id="rId8"/>
  </sheets>
</workbook>
</file>

<file path=xl/sharedStrings.xml><?xml version="1.0" encoding="utf-8"?>
<sst xmlns="http://schemas.openxmlformats.org/spreadsheetml/2006/main" uniqueCount="55">
  <si>
    <t>Financial model</t>
  </si>
  <si>
    <t>Rpbn</t>
  </si>
  <si>
    <t>4Q 202</t>
  </si>
  <si>
    <t>Cashflow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</si>
  <si>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</si>
  <si>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</si>
  <si>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</si>
  <si>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</si>
  <si>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</si>
  <si>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</si>
  <si>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</si>
  <si>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</si>
  <si>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>Equity</t>
  </si>
  <si>
    <t>Before revolver</t>
  </si>
  <si>
    <t>Revolver</t>
  </si>
  <si>
    <t>Beginning</t>
  </si>
  <si>
    <t>Change</t>
  </si>
  <si>
    <t>Ending</t>
  </si>
  <si>
    <t>Profit</t>
  </si>
  <si>
    <t xml:space="preserve">Non cash costs </t>
  </si>
  <si>
    <t xml:space="preserve">Other income </t>
  </si>
  <si>
    <t>Net profit</t>
  </si>
  <si>
    <t>Balance sheet</t>
  </si>
  <si>
    <t>Other assets</t>
  </si>
  <si>
    <t xml:space="preserve">Depreciation </t>
  </si>
  <si>
    <t>Net other assets</t>
  </si>
  <si>
    <t>Check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</si>
  <si>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</si>
  <si>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</si>
  <si>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</si>
  <si>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</si>
  <si>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</si>
  <si>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</si>
  <si>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</si>
  <si>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</si>
  <si>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</si>
  <si>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</si>
  <si>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</si>
  <si>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</si>
  <si>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</si>
  <si>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</si>
  <si>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</si>
  <si>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 xml:space="preserve">Sales growth </t>
  </si>
  <si>
    <t xml:space="preserve">Cost ratio </t>
  </si>
  <si>
    <t xml:space="preserve">Cashflow costs </t>
  </si>
  <si>
    <t xml:space="preserve">Receipts </t>
  </si>
  <si>
    <t xml:space="preserve">Operating </t>
  </si>
  <si>
    <t xml:space="preserve">Investment </t>
  </si>
  <si>
    <t xml:space="preserve">Free cashflow </t>
  </si>
  <si>
    <t xml:space="preserve">Cashflow </t>
  </si>
  <si>
    <t xml:space="preserve">Cash </t>
  </si>
  <si>
    <t>Assets</t>
  </si>
  <si>
    <t xml:space="preserve">Equity </t>
  </si>
  <si>
    <t xml:space="preserve">Checking </t>
  </si>
  <si>
    <t>TURI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</si>
</sst>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%_);[Red]\(#,##0%\)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7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1"/>
      </left>
      <right style="thin">
        <color indexed="10"/>
      </right>
      <top style="medium">
        <color indexed="14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6"/>
      </bottom>
      <diagonal/>
    </border>
    <border>
      <left style="thin">
        <color indexed="11"/>
      </left>
      <right style="thin">
        <color indexed="10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n">
        <color indexed="16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6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8" applyNumberFormat="1" applyFont="1" applyFill="1" applyBorder="1" applyAlignment="1" applyProtection="0">
      <alignment vertical="top" wrapText="1"/>
    </xf>
    <xf numFmtId="49" fontId="2" fillId="2" borderId="9" applyNumberFormat="1" applyFont="1" applyFill="1" applyBorder="1" applyAlignment="1" applyProtection="0">
      <alignment horizontal="right" vertical="top" wrapText="1"/>
    </xf>
    <xf numFmtId="3" fontId="3" borderId="10" applyNumberFormat="1" applyFont="1" applyFill="0" applyBorder="1" applyAlignment="1" applyProtection="0">
      <alignment horizontal="right" vertical="center" wrapText="1" readingOrder="1"/>
    </xf>
    <xf numFmtId="0" fontId="3" borderId="11" applyNumberFormat="0" applyFont="1" applyFill="0" applyBorder="1" applyAlignment="1" applyProtection="0">
      <alignment horizontal="right" vertical="center" wrapText="1" readingOrder="1"/>
    </xf>
    <xf numFmtId="3" fontId="3" borderId="12" applyNumberFormat="1" applyFont="1" applyFill="0" applyBorder="1" applyAlignment="1" applyProtection="0">
      <alignment horizontal="right" vertical="center" wrapText="1" readingOrder="1"/>
    </xf>
    <xf numFmtId="0" fontId="3" borderId="13" applyNumberFormat="0" applyFont="1" applyFill="0" applyBorder="1" applyAlignment="1" applyProtection="0">
      <alignment horizontal="right" vertical="center" wrapText="1" readingOrder="1"/>
    </xf>
    <xf numFmtId="3" fontId="3" fillId="5" borderId="12" applyNumberFormat="1" applyFont="1" applyFill="1" applyBorder="1" applyAlignment="1" applyProtection="0">
      <alignment horizontal="right" vertical="center" wrapText="1" readingOrder="1"/>
    </xf>
    <xf numFmtId="0" fontId="3" fillId="5" borderId="13" applyNumberFormat="0" applyFont="1" applyFill="1" applyBorder="1" applyAlignment="1" applyProtection="0">
      <alignment horizontal="right" vertical="center" wrapText="1" readingOrder="1"/>
    </xf>
    <xf numFmtId="0" fontId="3" borderId="14" applyNumberFormat="0" applyFont="1" applyFill="0" applyBorder="1" applyAlignment="1" applyProtection="0">
      <alignment horizontal="right" vertical="center" wrapText="1" readingOrder="1"/>
    </xf>
    <xf numFmtId="3" fontId="3" borderId="15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9b9b9"/>
      <rgbColor rgb="ff333333"/>
      <rgbColor rgb="ffd9d9d9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649438</xdr:colOff>
      <xdr:row>0</xdr:row>
      <xdr:rowOff>247650</xdr:rowOff>
    </xdr:from>
    <xdr:to>
      <xdr:col>13</xdr:col>
      <xdr:colOff>1163396</xdr:colOff>
      <xdr:row>47</xdr:row>
      <xdr:rowOff>64651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399238" y="247650"/>
          <a:ext cx="9226159" cy="119201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5.4766" style="1" customWidth="1"/>
    <col min="2" max="2" width="14.7656" style="1" customWidth="1"/>
    <col min="3" max="6" width="7.92188" style="1" customWidth="1"/>
    <col min="7" max="16384" width="16.3516" style="1" customWidth="1"/>
  </cols>
  <sheetData>
    <row r="1" ht="22.7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6"/>
    </row>
    <row r="4" ht="20.25" customHeight="1">
      <c r="B4" t="s" s="7">
        <v>3</v>
      </c>
      <c r="C4" s="8">
        <f>AVERAGE('Sales'!H26:H29)</f>
        <v>0.155538316829065</v>
      </c>
      <c r="D4" s="9"/>
      <c r="E4" s="9"/>
      <c r="F4" s="10">
        <f>AVERAGE(C5:F5)</f>
        <v>0.0575</v>
      </c>
    </row>
    <row r="5" ht="20.05" customHeight="1">
      <c r="B5" t="s" s="11">
        <v>4</v>
      </c>
      <c r="C5" s="12">
        <v>0.01</v>
      </c>
      <c r="D5" s="13">
        <v>0.15</v>
      </c>
      <c r="E5" s="13">
        <v>0.05</v>
      </c>
      <c r="F5" s="13">
        <v>0.02</v>
      </c>
    </row>
    <row r="6" ht="20.05" customHeight="1">
      <c r="B6" t="s" s="11">
        <v>5</v>
      </c>
      <c r="C6" s="14">
        <f>'Sales'!C29*(1+C5)</f>
        <v>3067.673</v>
      </c>
      <c r="D6" s="15">
        <f>C6*(1+D5)</f>
        <v>3527.82395</v>
      </c>
      <c r="E6" s="15">
        <f>D6*(1+E5)</f>
        <v>3704.2151475</v>
      </c>
      <c r="F6" s="15">
        <f>E6*(1+F5)</f>
        <v>3778.29945045</v>
      </c>
    </row>
    <row r="7" ht="20.05" customHeight="1">
      <c r="B7" t="s" s="11">
        <v>6</v>
      </c>
      <c r="C7" s="16">
        <f>AVERAGE('Sales'!I29)</f>
        <v>-0.953675962203273</v>
      </c>
      <c r="D7" s="17">
        <f>C7</f>
        <v>-0.953675962203273</v>
      </c>
      <c r="E7" s="17">
        <f>D7</f>
        <v>-0.953675962203273</v>
      </c>
      <c r="F7" s="17">
        <f>E7</f>
        <v>-0.953675962203273</v>
      </c>
    </row>
    <row r="8" ht="20.05" customHeight="1">
      <c r="B8" t="s" s="11">
        <v>7</v>
      </c>
      <c r="C8" s="18">
        <f>C7*C6</f>
        <v>-2925.566</v>
      </c>
      <c r="D8" s="19">
        <f>D7*D6</f>
        <v>-3364.4009</v>
      </c>
      <c r="E8" s="19">
        <f>E7*E6</f>
        <v>-3532.620945</v>
      </c>
      <c r="F8" s="19">
        <f>F7*F6</f>
        <v>-3603.2733639</v>
      </c>
    </row>
    <row r="9" ht="20.05" customHeight="1">
      <c r="B9" t="s" s="11">
        <v>8</v>
      </c>
      <c r="C9" s="18">
        <f>C6+C8</f>
        <v>142.107</v>
      </c>
      <c r="D9" s="19">
        <f>D6+D8</f>
        <v>163.42305</v>
      </c>
      <c r="E9" s="19">
        <f>E6+E8</f>
        <v>171.5942025</v>
      </c>
      <c r="F9" s="19">
        <f>F6+F8</f>
        <v>175.02608655</v>
      </c>
    </row>
    <row r="10" ht="20.05" customHeight="1">
      <c r="B10" t="s" s="11">
        <v>9</v>
      </c>
      <c r="C10" s="18">
        <f>AVERAGE('Cashflow '!E30)</f>
        <v>-24.7</v>
      </c>
      <c r="D10" s="19">
        <f>C10</f>
        <v>-24.7</v>
      </c>
      <c r="E10" s="19">
        <f>D10</f>
        <v>-24.7</v>
      </c>
      <c r="F10" s="19">
        <f>E10</f>
        <v>-24.7</v>
      </c>
    </row>
    <row r="11" ht="20.05" customHeight="1">
      <c r="B11" t="s" s="11">
        <v>10</v>
      </c>
      <c r="C11" s="18">
        <f>C12+C13+C15</f>
        <v>-117.407</v>
      </c>
      <c r="D11" s="19">
        <f>D12+D13+D15</f>
        <v>-138.72305</v>
      </c>
      <c r="E11" s="19">
        <f>E12+E13+E15</f>
        <v>-146.8942025</v>
      </c>
      <c r="F11" s="19">
        <f>F12+F13+F15</f>
        <v>-137.188624215</v>
      </c>
    </row>
    <row r="12" ht="20.05" customHeight="1">
      <c r="B12" t="s" s="11">
        <v>11</v>
      </c>
      <c r="C12" s="18">
        <f>-('Balance Sheet '!F25)/20</f>
        <v>-107.4</v>
      </c>
      <c r="D12" s="19">
        <f>-C27/20</f>
        <v>-102.03</v>
      </c>
      <c r="E12" s="19">
        <f>-D27/20</f>
        <v>-96.9285</v>
      </c>
      <c r="F12" s="19">
        <f>-E27/20</f>
        <v>-92.082075</v>
      </c>
    </row>
    <row r="13" ht="20.05" customHeight="1">
      <c r="B13" t="s" s="11">
        <v>12</v>
      </c>
      <c r="C13" s="18">
        <f>IF(C22&gt;0,-C22*0.3,0)</f>
        <v>-29.1639</v>
      </c>
      <c r="D13" s="19">
        <f>IF(D22&gt;0,-D22*0.3,0)</f>
        <v>-35.558715</v>
      </c>
      <c r="E13" s="19">
        <f>IF(E22&gt;0,-E22*0.3,0)</f>
        <v>-38.01006075</v>
      </c>
      <c r="F13" s="19">
        <f>IF(F22&gt;0,-F22*0.3,0)</f>
        <v>-39.039625965</v>
      </c>
    </row>
    <row r="14" ht="20.05" customHeight="1">
      <c r="B14" t="s" s="11">
        <v>13</v>
      </c>
      <c r="C14" s="18">
        <f>C9+C10+C12+C13</f>
        <v>-19.1569</v>
      </c>
      <c r="D14" s="19">
        <f>D9+D10+D12+D13</f>
        <v>1.134335</v>
      </c>
      <c r="E14" s="19">
        <f>E9+E10+E12+E13</f>
        <v>11.95564175</v>
      </c>
      <c r="F14" s="19">
        <f>F9+F10+F12+F13</f>
        <v>19.204385585</v>
      </c>
    </row>
    <row r="15" ht="20.05" customHeight="1">
      <c r="B15" t="s" s="11">
        <v>14</v>
      </c>
      <c r="C15" s="18">
        <f>-MIN(0,C14)</f>
        <v>19.1569</v>
      </c>
      <c r="D15" s="19">
        <f>-MIN(C28,D14)</f>
        <v>-1.134335</v>
      </c>
      <c r="E15" s="19">
        <f>-MIN(D28,E14)</f>
        <v>-11.95564175</v>
      </c>
      <c r="F15" s="19">
        <f>-MIN(E28,F14)</f>
        <v>-6.06692325</v>
      </c>
    </row>
    <row r="16" ht="20.05" customHeight="1">
      <c r="B16" t="s" s="11">
        <v>15</v>
      </c>
      <c r="C16" s="18">
        <f>'Balance Sheet '!B25</f>
        <v>1032</v>
      </c>
      <c r="D16" s="19">
        <f>C18</f>
        <v>1032</v>
      </c>
      <c r="E16" s="19">
        <f>D18</f>
        <v>1032</v>
      </c>
      <c r="F16" s="19">
        <f>E18</f>
        <v>1032</v>
      </c>
    </row>
    <row r="17" ht="20.05" customHeight="1">
      <c r="B17" t="s" s="11">
        <v>16</v>
      </c>
      <c r="C17" s="18">
        <f>C9+C10+C11</f>
        <v>0</v>
      </c>
      <c r="D17" s="19">
        <f>D9+D10+D11</f>
        <v>0</v>
      </c>
      <c r="E17" s="19">
        <f>E9+E10+E11</f>
        <v>0</v>
      </c>
      <c r="F17" s="19">
        <f>F9+F10+F11</f>
        <v>13.137462335</v>
      </c>
    </row>
    <row r="18" ht="20.05" customHeight="1">
      <c r="B18" t="s" s="11">
        <v>17</v>
      </c>
      <c r="C18" s="18">
        <f>C16+C17</f>
        <v>1032</v>
      </c>
      <c r="D18" s="19">
        <f>D16+D17</f>
        <v>1032</v>
      </c>
      <c r="E18" s="19">
        <f>E16+E17</f>
        <v>1032</v>
      </c>
      <c r="F18" s="19">
        <f>F16+F17</f>
        <v>1045.137462335</v>
      </c>
    </row>
    <row r="19" ht="20.05" customHeight="1">
      <c r="B19" t="s" s="20">
        <v>18</v>
      </c>
      <c r="C19" s="18"/>
      <c r="D19" s="19"/>
      <c r="E19" s="19"/>
      <c r="F19" s="21"/>
    </row>
    <row r="20" ht="20.05" customHeight="1">
      <c r="B20" t="s" s="11">
        <v>19</v>
      </c>
      <c r="C20" s="18">
        <f>-AVERAGE('Sales'!E25:E27)</f>
        <v>-71.494</v>
      </c>
      <c r="D20" s="19">
        <f>C20</f>
        <v>-71.494</v>
      </c>
      <c r="E20" s="19">
        <f>D20</f>
        <v>-71.494</v>
      </c>
      <c r="F20" s="19">
        <f>E20</f>
        <v>-71.494</v>
      </c>
    </row>
    <row r="21" ht="20.05" customHeight="1">
      <c r="B21" t="s" s="11">
        <v>20</v>
      </c>
      <c r="C21" s="18">
        <f>AVERAGE('Sales'!F27:F29)</f>
        <v>26.6</v>
      </c>
      <c r="D21" s="19">
        <f>C21</f>
        <v>26.6</v>
      </c>
      <c r="E21" s="19">
        <f>D21</f>
        <v>26.6</v>
      </c>
      <c r="F21" s="19">
        <f>E21</f>
        <v>26.6</v>
      </c>
    </row>
    <row r="22" ht="20.05" customHeight="1">
      <c r="B22" t="s" s="11">
        <v>21</v>
      </c>
      <c r="C22" s="18">
        <f>C6+C8+C20+C21</f>
        <v>97.21299999999999</v>
      </c>
      <c r="D22" s="19">
        <f>D6+D8+D20+D21</f>
        <v>118.52905</v>
      </c>
      <c r="E22" s="19">
        <f>E6+E8+E20+E21</f>
        <v>126.7002025</v>
      </c>
      <c r="F22" s="19">
        <f>F6+F8+F20+F21</f>
        <v>130.13208655</v>
      </c>
    </row>
    <row r="23" ht="20.05" customHeight="1">
      <c r="B23" t="s" s="20">
        <v>22</v>
      </c>
      <c r="C23" s="18"/>
      <c r="D23" s="19"/>
      <c r="E23" s="19"/>
      <c r="F23" s="19"/>
    </row>
    <row r="24" ht="20.05" customHeight="1">
      <c r="B24" t="s" s="11">
        <v>23</v>
      </c>
      <c r="C24" s="18">
        <f>'Balance Sheet '!D25+'Balance Sheet '!E25-C10</f>
        <v>6271.7</v>
      </c>
      <c r="D24" s="19">
        <f>C24-D10</f>
        <v>6296.4</v>
      </c>
      <c r="E24" s="19">
        <f>D24-E10</f>
        <v>6321.1</v>
      </c>
      <c r="F24" s="19">
        <f>E24-F10</f>
        <v>6345.8</v>
      </c>
    </row>
    <row r="25" ht="20.05" customHeight="1">
      <c r="B25" t="s" s="11">
        <v>24</v>
      </c>
      <c r="C25" s="18">
        <f>'Balance Sheet '!E25-C20-C21</f>
        <v>964.894</v>
      </c>
      <c r="D25" s="19">
        <f>C25-D20-D21</f>
        <v>1009.788</v>
      </c>
      <c r="E25" s="19">
        <f>D25-E20-E21</f>
        <v>1054.682</v>
      </c>
      <c r="F25" s="19">
        <f>E25-F20-F21</f>
        <v>1099.576</v>
      </c>
    </row>
    <row r="26" ht="20.05" customHeight="1">
      <c r="B26" t="s" s="11">
        <v>25</v>
      </c>
      <c r="C26" s="18">
        <f>C24-C25</f>
        <v>5306.806</v>
      </c>
      <c r="D26" s="19">
        <f>D24-D25</f>
        <v>5286.612</v>
      </c>
      <c r="E26" s="19">
        <f>E24-E25</f>
        <v>5266.418</v>
      </c>
      <c r="F26" s="19">
        <f>F24-F25</f>
        <v>5246.224</v>
      </c>
    </row>
    <row r="27" ht="20.05" customHeight="1">
      <c r="B27" t="s" s="11">
        <v>11</v>
      </c>
      <c r="C27" s="18">
        <f>'Balance Sheet '!F25+C12</f>
        <v>2040.6</v>
      </c>
      <c r="D27" s="19">
        <f>C27+D12</f>
        <v>1938.57</v>
      </c>
      <c r="E27" s="19">
        <f>D27+E12</f>
        <v>1841.6415</v>
      </c>
      <c r="F27" s="19">
        <f>E27+F12</f>
        <v>1749.559425</v>
      </c>
    </row>
    <row r="28" ht="20.05" customHeight="1">
      <c r="B28" t="s" s="11">
        <v>14</v>
      </c>
      <c r="C28" s="18">
        <f>C15</f>
        <v>19.1569</v>
      </c>
      <c r="D28" s="19">
        <f>C28+D15</f>
        <v>18.022565</v>
      </c>
      <c r="E28" s="19">
        <f>D28+E15</f>
        <v>6.06692325</v>
      </c>
      <c r="F28" s="19">
        <f>E28+F15</f>
        <v>0</v>
      </c>
    </row>
    <row r="29" ht="20.05" customHeight="1">
      <c r="B29" t="s" s="11">
        <v>12</v>
      </c>
      <c r="C29" s="18">
        <f>'Balance Sheet '!G25+C22+C13</f>
        <v>4279.0491</v>
      </c>
      <c r="D29" s="19">
        <f>C29+D22+D13</f>
        <v>4362.019435</v>
      </c>
      <c r="E29" s="19">
        <f>D29+E22+E13</f>
        <v>4450.70957675</v>
      </c>
      <c r="F29" s="19">
        <f>E29+F22+F13</f>
        <v>4541.802037335</v>
      </c>
    </row>
    <row r="30" ht="20.05" customHeight="1">
      <c r="B30" t="s" s="11">
        <v>26</v>
      </c>
      <c r="C30" s="18">
        <f>C27+C28+C29-C18-C26</f>
        <v>0</v>
      </c>
      <c r="D30" s="19">
        <f>D27+D28+D29-D18-D26</f>
        <v>0</v>
      </c>
      <c r="E30" s="19">
        <f>E27+E28+E29-E18-E26</f>
        <v>0</v>
      </c>
      <c r="F30" s="19">
        <f>F27+F28+F29-F18-F26</f>
        <v>0</v>
      </c>
    </row>
    <row r="31" ht="20.05" customHeight="1">
      <c r="B31" t="s" s="11">
        <v>27</v>
      </c>
      <c r="C31" s="18">
        <f>C18-C27-C28</f>
        <v>-1027.7569</v>
      </c>
      <c r="D31" s="19">
        <f>D18-D27-D28</f>
        <v>-924.592565</v>
      </c>
      <c r="E31" s="19">
        <f>E18-E27-E28</f>
        <v>-815.70842325</v>
      </c>
      <c r="F31" s="19">
        <f>F18-F27-F28</f>
        <v>-704.421962665</v>
      </c>
    </row>
    <row r="32" ht="20.05" customHeight="1">
      <c r="B32" t="s" s="20">
        <v>28</v>
      </c>
      <c r="C32" s="18"/>
      <c r="D32" s="19"/>
      <c r="E32" s="19"/>
      <c r="F32" s="19"/>
    </row>
    <row r="33" ht="20.05" customHeight="1">
      <c r="B33" t="s" s="11">
        <v>29</v>
      </c>
      <c r="C33" s="18">
        <f>'Cashflow '!I30-C11</f>
        <v>1007.607</v>
      </c>
      <c r="D33" s="19">
        <f>C33-D11</f>
        <v>1146.33005</v>
      </c>
      <c r="E33" s="19">
        <f>D33-E11</f>
        <v>1293.2242525</v>
      </c>
      <c r="F33" s="19">
        <f>E33-F11</f>
        <v>1430.412876715</v>
      </c>
    </row>
    <row r="34" ht="20.05" customHeight="1">
      <c r="B34" t="s" s="11">
        <v>30</v>
      </c>
      <c r="C34" s="18"/>
      <c r="D34" s="19"/>
      <c r="E34" s="19"/>
      <c r="F34" s="19">
        <v>7700</v>
      </c>
    </row>
    <row r="35" ht="20.05" customHeight="1">
      <c r="B35" t="s" s="11">
        <v>31</v>
      </c>
      <c r="C35" s="18"/>
      <c r="D35" s="19"/>
      <c r="E35" s="19"/>
      <c r="F35" s="22">
        <f>F34/(F18+F26)</f>
        <v>1.22390043015303</v>
      </c>
    </row>
    <row r="36" ht="20.05" customHeight="1">
      <c r="B36" t="s" s="11">
        <v>32</v>
      </c>
      <c r="C36" s="18"/>
      <c r="D36" s="19"/>
      <c r="E36" s="19"/>
      <c r="F36" s="17">
        <f>-(C13+D13+E13+F13)/F34</f>
        <v>0.0184119872357143</v>
      </c>
    </row>
    <row r="37" ht="20.05" customHeight="1">
      <c r="B37" t="s" s="11">
        <v>3</v>
      </c>
      <c r="C37" s="18"/>
      <c r="D37" s="19"/>
      <c r="E37" s="19"/>
      <c r="F37" s="19">
        <f>SUM(C9:F10)</f>
        <v>553.35033905</v>
      </c>
    </row>
    <row r="38" ht="20.05" customHeight="1">
      <c r="B38" t="s" s="11">
        <v>33</v>
      </c>
      <c r="C38" s="18"/>
      <c r="D38" s="19"/>
      <c r="E38" s="19"/>
      <c r="F38" s="19">
        <f>'Balance Sheet '!D25/F37</f>
        <v>9.626812570758471</v>
      </c>
    </row>
    <row r="39" ht="20.05" customHeight="1">
      <c r="B39" t="s" s="11">
        <v>28</v>
      </c>
      <c r="C39" s="18"/>
      <c r="D39" s="19"/>
      <c r="E39" s="19"/>
      <c r="F39" s="19">
        <f>F34/F37</f>
        <v>13.9152349905839</v>
      </c>
    </row>
    <row r="40" ht="20.05" customHeight="1">
      <c r="B40" t="s" s="11">
        <v>34</v>
      </c>
      <c r="C40" s="18"/>
      <c r="D40" s="19"/>
      <c r="E40" s="19"/>
      <c r="F40" s="19">
        <v>20</v>
      </c>
    </row>
    <row r="41" ht="20.05" customHeight="1">
      <c r="B41" t="s" s="11">
        <v>35</v>
      </c>
      <c r="C41" s="18"/>
      <c r="D41" s="19"/>
      <c r="E41" s="19"/>
      <c r="F41" s="19">
        <f>F37*F40</f>
        <v>11067.006781</v>
      </c>
    </row>
    <row r="42" ht="20.05" customHeight="1">
      <c r="B42" t="s" s="11">
        <v>36</v>
      </c>
      <c r="C42" s="18"/>
      <c r="D42" s="19"/>
      <c r="E42" s="19"/>
      <c r="F42" s="19">
        <f>F34/F44</f>
        <v>5.57971014492754</v>
      </c>
    </row>
    <row r="43" ht="20.05" customHeight="1">
      <c r="B43" t="s" s="11">
        <v>37</v>
      </c>
      <c r="C43" s="18"/>
      <c r="D43" s="19"/>
      <c r="E43" s="19"/>
      <c r="F43" s="19">
        <f>F41/F42</f>
        <v>1983.437578932470</v>
      </c>
    </row>
    <row r="44" ht="20.05" customHeight="1">
      <c r="B44" t="s" s="11">
        <v>38</v>
      </c>
      <c r="C44" s="18"/>
      <c r="D44" s="19"/>
      <c r="E44" s="19"/>
      <c r="F44" s="19">
        <f>'Share price'!C98</f>
        <v>1380</v>
      </c>
    </row>
    <row r="45" ht="20.05" customHeight="1">
      <c r="B45" t="s" s="11">
        <v>39</v>
      </c>
      <c r="C45" s="18"/>
      <c r="D45" s="19"/>
      <c r="E45" s="19"/>
      <c r="F45" s="17">
        <f>F43/F44-1</f>
        <v>0.43727360792208</v>
      </c>
    </row>
    <row r="46" ht="20.05" customHeight="1">
      <c r="B46" t="s" s="11">
        <v>40</v>
      </c>
      <c r="C46" s="18"/>
      <c r="D46" s="19"/>
      <c r="E46" s="19"/>
      <c r="F46" s="17">
        <f>'Sales'!C29/'Sales'!C25-1</f>
        <v>0.761315201948447</v>
      </c>
    </row>
    <row r="47" ht="20.05" customHeight="1">
      <c r="B47" t="s" s="11">
        <v>41</v>
      </c>
      <c r="C47" s="18"/>
      <c r="D47" s="19"/>
      <c r="E47" s="19"/>
      <c r="F47" s="17">
        <f>('Sales'!D22+'Sales'!D23+'Sales'!D24+'Sales'!D25+'Sales'!D26+'Sales'!D27+'Sales'!D28+'Sales'!D29)/('Sales'!C22+'Sales'!C23+'Sales'!C24+'Sales'!C25+'Sales'!C26+'Sales'!C27+'Sales'!C28+'Sales'!C29)-1</f>
        <v>0.07483365355191809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33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7.79688" style="23" customWidth="1"/>
    <col min="2" max="2" width="9.3125" style="23" customWidth="1"/>
    <col min="3" max="10" width="10.125" style="23" customWidth="1"/>
    <col min="11" max="16384" width="16.3516" style="23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</row>
    <row r="2" ht="32.25" customHeight="1">
      <c r="B2" t="s" s="4">
        <v>1</v>
      </c>
      <c r="C2" t="s" s="4">
        <v>5</v>
      </c>
      <c r="D2" t="s" s="4">
        <v>34</v>
      </c>
      <c r="E2" t="s" s="4">
        <v>24</v>
      </c>
      <c r="F2" t="s" s="4">
        <v>20</v>
      </c>
      <c r="G2" t="s" s="4">
        <v>21</v>
      </c>
      <c r="H2" t="s" s="4">
        <v>42</v>
      </c>
      <c r="I2" t="s" s="4">
        <v>43</v>
      </c>
      <c r="J2" t="s" s="4">
        <v>44</v>
      </c>
    </row>
    <row r="3" ht="20.25" customHeight="1">
      <c r="B3" s="24">
        <v>2015</v>
      </c>
      <c r="C3" s="25">
        <v>2479.4</v>
      </c>
      <c r="D3" s="26"/>
      <c r="E3" s="26">
        <v>61.016</v>
      </c>
      <c r="F3" s="26">
        <v>29</v>
      </c>
      <c r="G3" s="27">
        <v>75.2</v>
      </c>
      <c r="H3" s="28"/>
      <c r="I3" s="28">
        <f>(E3-F3+G3-C3)/C3</f>
        <v>-0.956757279987094</v>
      </c>
      <c r="J3" s="28"/>
    </row>
    <row r="4" ht="20.05" customHeight="1">
      <c r="B4" s="29"/>
      <c r="C4" s="14">
        <v>2762.4</v>
      </c>
      <c r="D4" s="15"/>
      <c r="E4" s="15">
        <v>63.682</v>
      </c>
      <c r="F4" s="15">
        <v>39</v>
      </c>
      <c r="G4" s="19">
        <v>52.7</v>
      </c>
      <c r="H4" s="17">
        <f>C4/C3-1</f>
        <v>0.114140517867226</v>
      </c>
      <c r="I4" s="17">
        <f>(E4-F4+G4-C4)/C4</f>
        <v>-0.971987402258905</v>
      </c>
      <c r="J4" s="17"/>
    </row>
    <row r="5" ht="20.05" customHeight="1">
      <c r="B5" s="29"/>
      <c r="C5" s="14">
        <v>2283.4</v>
      </c>
      <c r="D5" s="15"/>
      <c r="E5" s="15">
        <v>67.22799999999999</v>
      </c>
      <c r="F5" s="15">
        <v>35</v>
      </c>
      <c r="G5" s="19">
        <v>71.58</v>
      </c>
      <c r="H5" s="17">
        <f>C5/C4-1</f>
        <v>-0.173399942079351</v>
      </c>
      <c r="I5" s="17">
        <f>(E5-F5+G5-C5)/C5</f>
        <v>-0.954537969694315</v>
      </c>
      <c r="J5" s="17"/>
    </row>
    <row r="6" ht="20.05" customHeight="1">
      <c r="B6" s="29"/>
      <c r="C6" s="14">
        <v>2632</v>
      </c>
      <c r="D6" s="15"/>
      <c r="E6" s="15">
        <v>73.895</v>
      </c>
      <c r="F6" s="15">
        <v>47</v>
      </c>
      <c r="G6" s="19">
        <v>92.73999999999999</v>
      </c>
      <c r="H6" s="17">
        <f>C6/C5-1</f>
        <v>0.152667075413857</v>
      </c>
      <c r="I6" s="17">
        <f>(E6-F6+G6-C6)/C6</f>
        <v>-0.954545972644377</v>
      </c>
      <c r="J6" s="17"/>
    </row>
    <row r="7" ht="20.05" customHeight="1">
      <c r="B7" s="30">
        <v>2016</v>
      </c>
      <c r="C7" s="14">
        <v>2832.5</v>
      </c>
      <c r="D7" s="15"/>
      <c r="E7" s="15">
        <v>65.681</v>
      </c>
      <c r="F7" s="15">
        <v>34</v>
      </c>
      <c r="G7" s="19">
        <v>104.28</v>
      </c>
      <c r="H7" s="17">
        <f>C7/C6-1</f>
        <v>0.07617781155015201</v>
      </c>
      <c r="I7" s="17">
        <f>(E7-F7+G7-C7)/C7</f>
        <v>-0.951999646954987</v>
      </c>
      <c r="J7" s="17">
        <f>('Cashflow '!D8-'Cashflow '!C8)/'Cashflow '!C8</f>
        <v>-0.950469748214957</v>
      </c>
    </row>
    <row r="8" ht="20.05" customHeight="1">
      <c r="B8" s="29"/>
      <c r="C8" s="14">
        <v>3422</v>
      </c>
      <c r="D8" s="15"/>
      <c r="E8" s="15">
        <v>65.72199999999999</v>
      </c>
      <c r="F8" s="15">
        <v>41</v>
      </c>
      <c r="G8" s="19">
        <v>186.22</v>
      </c>
      <c r="H8" s="17">
        <f>C8/C7-1</f>
        <v>0.208120035304501</v>
      </c>
      <c r="I8" s="17">
        <f>(E8-F8+G8-C8)/C8</f>
        <v>-0.938357101110462</v>
      </c>
      <c r="J8" s="17">
        <f>('Cashflow '!D9-'Cashflow '!C9)/'Cashflow '!C9</f>
        <v>-0.90419559311802</v>
      </c>
    </row>
    <row r="9" ht="20.05" customHeight="1">
      <c r="B9" s="29"/>
      <c r="C9" s="14">
        <v>3100.4</v>
      </c>
      <c r="D9" s="15"/>
      <c r="E9" s="15">
        <v>68.309</v>
      </c>
      <c r="F9" s="15">
        <v>34</v>
      </c>
      <c r="G9" s="19">
        <v>132.8</v>
      </c>
      <c r="H9" s="17">
        <f>C9/C8-1</f>
        <v>-0.0939801285797779</v>
      </c>
      <c r="I9" s="17">
        <f>(E9-F9+G9-C9)/C9</f>
        <v>-0.9461008256999101</v>
      </c>
      <c r="J9" s="17">
        <f>('Cashflow '!D10-'Cashflow '!C10)/'Cashflow '!C10</f>
        <v>-0.992690921009505</v>
      </c>
    </row>
    <row r="10" ht="20.05" customHeight="1">
      <c r="B10" s="29"/>
      <c r="C10" s="14">
        <v>3098.8</v>
      </c>
      <c r="D10" s="15"/>
      <c r="E10" s="15">
        <v>66.443</v>
      </c>
      <c r="F10" s="15">
        <v>33</v>
      </c>
      <c r="G10" s="19">
        <v>129.15</v>
      </c>
      <c r="H10" s="17">
        <f>C10/C9-1</f>
        <v>-0.00051606244355567</v>
      </c>
      <c r="I10" s="17">
        <f>(E10-F10+G10-C10)/C10</f>
        <v>-0.947530334322964</v>
      </c>
      <c r="J10" s="17">
        <f>('Cashflow '!D11-'Cashflow '!C11)/'Cashflow '!C11</f>
        <v>-1.00962920379419</v>
      </c>
    </row>
    <row r="11" ht="20.05" customHeight="1">
      <c r="B11" s="30">
        <v>2017</v>
      </c>
      <c r="C11" s="14">
        <v>3508.4</v>
      </c>
      <c r="D11" s="15"/>
      <c r="E11" s="15">
        <v>45.147</v>
      </c>
      <c r="F11" s="15">
        <v>47</v>
      </c>
      <c r="G11" s="19">
        <v>105.5</v>
      </c>
      <c r="H11" s="17">
        <f>C11/C10-1</f>
        <v>0.132180198786627</v>
      </c>
      <c r="I11" s="17">
        <f>(E11-F11+G11-C11)/C11</f>
        <v>-0.97045747349219</v>
      </c>
      <c r="J11" s="17">
        <f>('Cashflow '!D12-'Cashflow '!C12)/'Cashflow '!C12</f>
        <v>-1.17233438485804</v>
      </c>
    </row>
    <row r="12" ht="20.05" customHeight="1">
      <c r="B12" s="29"/>
      <c r="C12" s="14">
        <v>3204.2</v>
      </c>
      <c r="D12" s="15"/>
      <c r="E12" s="15">
        <v>50.619</v>
      </c>
      <c r="F12" s="15">
        <v>54</v>
      </c>
      <c r="G12" s="19">
        <v>115.72</v>
      </c>
      <c r="H12" s="17">
        <f>C12/C11-1</f>
        <v>-0.0867061908562308</v>
      </c>
      <c r="I12" s="17">
        <f>(E12-F12+G12-C12)/C12</f>
        <v>-0.964940078646776</v>
      </c>
      <c r="J12" s="17">
        <f>('Cashflow '!D13-'Cashflow '!C13)/'Cashflow '!C13</f>
        <v>-0.825507502206531</v>
      </c>
    </row>
    <row r="13" ht="20.05" customHeight="1">
      <c r="B13" s="29"/>
      <c r="C13" s="14">
        <v>3125.2</v>
      </c>
      <c r="D13" s="15"/>
      <c r="E13" s="15">
        <v>54.56</v>
      </c>
      <c r="F13" s="15">
        <v>56</v>
      </c>
      <c r="G13" s="19">
        <v>111.48</v>
      </c>
      <c r="H13" s="17">
        <f>C13/C12-1</f>
        <v>-0.0246551401285812</v>
      </c>
      <c r="I13" s="17">
        <f>(E13-F13+G13-C13)/C13</f>
        <v>-0.964789453474978</v>
      </c>
      <c r="J13" s="17">
        <f>('Cashflow '!D14-'Cashflow '!C14)/'Cashflow '!C14</f>
        <v>-1.02941176470588</v>
      </c>
    </row>
    <row r="14" ht="20.05" customHeight="1">
      <c r="B14" s="29"/>
      <c r="C14" s="14">
        <v>3079.4</v>
      </c>
      <c r="D14" s="15"/>
      <c r="E14" s="15">
        <v>51.137</v>
      </c>
      <c r="F14" s="15">
        <v>55</v>
      </c>
      <c r="G14" s="19">
        <v>143.5</v>
      </c>
      <c r="H14" s="17">
        <f>C14/C13-1</f>
        <v>-0.0146550620760271</v>
      </c>
      <c r="I14" s="17">
        <f>(E14-F14+G14-C14)/C14</f>
        <v>-0.954654478145093</v>
      </c>
      <c r="J14" s="17">
        <f>('Cashflow '!D15-'Cashflow '!C15)/'Cashflow '!C15</f>
        <v>-0.918543451652387</v>
      </c>
    </row>
    <row r="15" ht="20.05" customHeight="1">
      <c r="B15" s="30">
        <v>2018</v>
      </c>
      <c r="C15" s="14">
        <v>3526.48</v>
      </c>
      <c r="D15" s="15"/>
      <c r="E15" s="15">
        <v>56.599</v>
      </c>
      <c r="F15" s="15">
        <v>51</v>
      </c>
      <c r="G15" s="19">
        <v>141</v>
      </c>
      <c r="H15" s="17">
        <f>C15/C14-1</f>
        <v>0.145184126777944</v>
      </c>
      <c r="I15" s="17">
        <f>(E15-F15+G15-C15)/C15</f>
        <v>-0.958429085093351</v>
      </c>
      <c r="J15" s="17">
        <f>('Cashflow '!D16-'Cashflow '!C16)/'Cashflow '!C16</f>
        <v>-0.987779922779923</v>
      </c>
    </row>
    <row r="16" ht="20.05" customHeight="1">
      <c r="B16" s="29"/>
      <c r="C16" s="14">
        <v>3367.62</v>
      </c>
      <c r="D16" s="15"/>
      <c r="E16" s="15">
        <v>59.003</v>
      </c>
      <c r="F16" s="15">
        <v>30</v>
      </c>
      <c r="G16" s="19">
        <v>139.52</v>
      </c>
      <c r="H16" s="17">
        <f>C16/C15-1</f>
        <v>-0.0450477530001588</v>
      </c>
      <c r="I16" s="17">
        <f>(E16-F16+G16-C16)/C16</f>
        <v>-0.949957833722332</v>
      </c>
      <c r="J16" s="17">
        <f>('Cashflow '!D17-'Cashflow '!C17)/'Cashflow '!C17</f>
        <v>-0.884136083578891</v>
      </c>
    </row>
    <row r="17" ht="20.05" customHeight="1">
      <c r="B17" s="29"/>
      <c r="C17" s="14">
        <v>3568.7</v>
      </c>
      <c r="D17" s="15"/>
      <c r="E17" s="15">
        <v>68.78100000000001</v>
      </c>
      <c r="F17" s="15">
        <v>63</v>
      </c>
      <c r="G17" s="19">
        <v>127.28</v>
      </c>
      <c r="H17" s="17">
        <f>C17/C16-1</f>
        <v>0.0597098247426966</v>
      </c>
      <c r="I17" s="17">
        <f>(E17-F17+G17-C17)/C17</f>
        <v>-0.962714433827444</v>
      </c>
      <c r="J17" s="17">
        <f>('Cashflow '!D18-'Cashflow '!C18)/'Cashflow '!C18</f>
        <v>-1.0322934232715</v>
      </c>
    </row>
    <row r="18" ht="20.05" customHeight="1">
      <c r="B18" s="29"/>
      <c r="C18" s="14">
        <v>2940.8</v>
      </c>
      <c r="D18" s="15"/>
      <c r="E18" s="15">
        <v>61.723</v>
      </c>
      <c r="F18" s="15">
        <v>105</v>
      </c>
      <c r="G18" s="19">
        <v>153.2</v>
      </c>
      <c r="H18" s="17">
        <f>C18/C17-1</f>
        <v>-0.175946423067223</v>
      </c>
      <c r="I18" s="17">
        <f>(E18-F18+G18-C18)/C18</f>
        <v>-0.962621395538629</v>
      </c>
      <c r="J18" s="17">
        <f>('Cashflow '!D19-'Cashflow '!C19)/'Cashflow '!C19</f>
        <v>-1.02055781886556</v>
      </c>
    </row>
    <row r="19" ht="20.05" customHeight="1">
      <c r="B19" s="30">
        <v>2019</v>
      </c>
      <c r="C19" s="14">
        <v>3567</v>
      </c>
      <c r="D19" s="15"/>
      <c r="E19" s="15">
        <v>115</v>
      </c>
      <c r="F19" s="15">
        <v>73</v>
      </c>
      <c r="G19" s="19">
        <v>160.5</v>
      </c>
      <c r="H19" s="17">
        <f>C19/C18-1</f>
        <v>0.212935255712731</v>
      </c>
      <c r="I19" s="17">
        <f>(E19-F19+G19-C19)/C19</f>
        <v>-0.94322960470984</v>
      </c>
      <c r="J19" s="17">
        <f>('Cashflow '!D20-'Cashflow '!C20)/'Cashflow '!C20</f>
        <v>-0.953071564281191</v>
      </c>
    </row>
    <row r="20" ht="20.05" customHeight="1">
      <c r="B20" s="29"/>
      <c r="C20" s="14">
        <v>3215.8</v>
      </c>
      <c r="D20" s="15"/>
      <c r="E20" s="15">
        <v>115</v>
      </c>
      <c r="F20" s="15">
        <v>47.59</v>
      </c>
      <c r="G20" s="19">
        <v>148.64</v>
      </c>
      <c r="H20" s="17">
        <f>C20/C19-1</f>
        <v>-0.0984580880291562</v>
      </c>
      <c r="I20" s="17">
        <f>(E20-F20+G20-C20)/C20</f>
        <v>-0.932816095528329</v>
      </c>
      <c r="J20" s="17">
        <f>('Cashflow '!D21-'Cashflow '!C21)/'Cashflow '!C21</f>
        <v>-0.960906785034876</v>
      </c>
    </row>
    <row r="21" ht="20.05" customHeight="1">
      <c r="B21" s="29"/>
      <c r="C21" s="14">
        <v>3247.2</v>
      </c>
      <c r="D21" s="21"/>
      <c r="E21" s="15">
        <v>115</v>
      </c>
      <c r="F21" s="15">
        <v>52.41</v>
      </c>
      <c r="G21" s="19">
        <v>124.46</v>
      </c>
      <c r="H21" s="17">
        <f>C21/C20-1</f>
        <v>0.009764288823931841</v>
      </c>
      <c r="I21" s="17">
        <f>(E21-F21+G21-C21)/C21</f>
        <v>-0.94239652623799</v>
      </c>
      <c r="J21" s="17">
        <f>('Cashflow '!D22-'Cashflow '!C22)/'Cashflow '!C22</f>
        <v>-0.9418550044027</v>
      </c>
    </row>
    <row r="22" ht="20.05" customHeight="1">
      <c r="B22" s="29"/>
      <c r="C22" s="14">
        <v>2970</v>
      </c>
      <c r="D22" s="15">
        <v>3146.656</v>
      </c>
      <c r="E22" s="15">
        <v>115</v>
      </c>
      <c r="F22" s="15">
        <v>78</v>
      </c>
      <c r="G22" s="19">
        <v>149.4</v>
      </c>
      <c r="H22" s="17">
        <f>C22/C21-1</f>
        <v>-0.08536585365853661</v>
      </c>
      <c r="I22" s="17">
        <f>(E22-F22+G22-C22)/C22</f>
        <v>-0.937239057239057</v>
      </c>
      <c r="J22" s="17">
        <f>('Cashflow '!D23-'Cashflow '!C23)/'Cashflow '!C23</f>
        <v>-0.996427542494958</v>
      </c>
    </row>
    <row r="23" ht="20.05" customHeight="1">
      <c r="B23" s="30">
        <v>2020</v>
      </c>
      <c r="C23" s="14">
        <v>3168.3</v>
      </c>
      <c r="D23" s="15">
        <v>3495.66</v>
      </c>
      <c r="E23" s="15">
        <v>72.084</v>
      </c>
      <c r="F23" s="31">
        <v>-6</v>
      </c>
      <c r="G23" s="19">
        <v>125</v>
      </c>
      <c r="H23" s="17">
        <f>C23/C22-1</f>
        <v>0.0667676767676768</v>
      </c>
      <c r="I23" s="17">
        <f>(E23-F23+G23-C23)/C23</f>
        <v>-0.935901271975507</v>
      </c>
      <c r="J23" s="17">
        <f>('Cashflow '!D24-'Cashflow '!C24)/'Cashflow '!C24</f>
        <v>-0.977064846416382</v>
      </c>
    </row>
    <row r="24" ht="20.05" customHeight="1">
      <c r="B24" s="29"/>
      <c r="C24" s="14">
        <v>1288.25</v>
      </c>
      <c r="D24" s="15">
        <v>2894.22</v>
      </c>
      <c r="E24" s="15">
        <v>72.23399999999999</v>
      </c>
      <c r="F24" s="31">
        <v>-6</v>
      </c>
      <c r="G24" s="19">
        <v>-18.13</v>
      </c>
      <c r="H24" s="17">
        <f>C24/C23-1</f>
        <v>-0.593393933655273</v>
      </c>
      <c r="I24" s="17">
        <f>(E24-F24+G24-C24)/C24</f>
        <v>-0.953344459538133</v>
      </c>
      <c r="J24" s="17">
        <f>('Cashflow '!D25-'Cashflow '!C25)/'Cashflow '!C25</f>
        <v>-0.688567293777135</v>
      </c>
    </row>
    <row r="25" ht="20.05" customHeight="1">
      <c r="B25" s="29"/>
      <c r="C25" s="14">
        <v>1724.45</v>
      </c>
      <c r="D25" s="15">
        <v>1623.6</v>
      </c>
      <c r="E25" s="15">
        <v>69.682</v>
      </c>
      <c r="F25" s="31">
        <v>-6</v>
      </c>
      <c r="G25" s="19">
        <v>21.13</v>
      </c>
      <c r="H25" s="17">
        <f>C25/C24-1</f>
        <v>0.338598874442073</v>
      </c>
      <c r="I25" s="17">
        <f>(E25-F25+G25-C25)/C25</f>
        <v>-0.943859201484531</v>
      </c>
      <c r="J25" s="17">
        <f>('Cashflow '!D26-'Cashflow '!C26)/'Cashflow '!C26</f>
        <v>-0.874140845070423</v>
      </c>
    </row>
    <row r="26" ht="20.05" customHeight="1">
      <c r="B26" s="29"/>
      <c r="C26" s="14">
        <f>8320.7-SUM(C23:C25)</f>
        <v>2139.7</v>
      </c>
      <c r="D26" s="15">
        <v>1983.1175</v>
      </c>
      <c r="E26" s="15">
        <f>291.5-SUM(E23:E25)</f>
        <v>77.5</v>
      </c>
      <c r="F26" s="31">
        <v>-6</v>
      </c>
      <c r="G26" s="19">
        <f>42.7-SUM(G23:G25)</f>
        <v>-85.3</v>
      </c>
      <c r="H26" s="17">
        <f>C26/C25-1</f>
        <v>0.240801414943895</v>
      </c>
      <c r="I26" s="17">
        <f>(E26-F26+G26-C26)/C26</f>
        <v>-1.00084123942609</v>
      </c>
      <c r="J26" s="17">
        <f>('Cashflow '!D27-'Cashflow '!C27)/'Cashflow '!C27</f>
        <v>-0.8573597674721271</v>
      </c>
    </row>
    <row r="27" ht="20.05" customHeight="1">
      <c r="B27" s="30">
        <v>2021</v>
      </c>
      <c r="C27" s="14">
        <v>2640</v>
      </c>
      <c r="D27" s="15">
        <v>2567.64</v>
      </c>
      <c r="E27" s="15">
        <v>67.3</v>
      </c>
      <c r="F27" s="32">
        <v>30.7</v>
      </c>
      <c r="G27" s="19">
        <v>96.2</v>
      </c>
      <c r="H27" s="17">
        <f>C27/C26-1</f>
        <v>0.233817824928728</v>
      </c>
      <c r="I27" s="17">
        <f>(E27-F27+G27-C27)/C27</f>
        <v>-0.94969696969697</v>
      </c>
      <c r="J27" s="17">
        <f>('Cashflow '!D28-'Cashflow '!C28)/'Cashflow '!C28</f>
        <v>-0.9622463020295841</v>
      </c>
    </row>
    <row r="28" ht="20.05" customHeight="1">
      <c r="B28" s="29"/>
      <c r="C28" s="14">
        <f>5606.3-C27</f>
        <v>2966.3</v>
      </c>
      <c r="D28" s="15">
        <v>2719.2</v>
      </c>
      <c r="E28" s="15">
        <f>250.1-E27</f>
        <v>182.8</v>
      </c>
      <c r="F28" s="19">
        <f>48.1-F27</f>
        <v>17.4</v>
      </c>
      <c r="G28" s="19">
        <f>214.9-G27</f>
        <v>118.7</v>
      </c>
      <c r="H28" s="17">
        <f>C28/C27-1</f>
        <v>0.123598484848485</v>
      </c>
      <c r="I28" s="17">
        <f>(E28-F28+G28-C28)/C28</f>
        <v>-0.904224117587567</v>
      </c>
      <c r="J28" s="17">
        <f>('Cashflow '!D29-'Cashflow '!C29)/'Cashflow '!C29</f>
        <v>-0.968410256410256</v>
      </c>
    </row>
    <row r="29" ht="20.05" customHeight="1">
      <c r="B29" s="29"/>
      <c r="C29" s="14">
        <f>8643.6-SUM(C27:C28)</f>
        <v>3037.3</v>
      </c>
      <c r="D29" s="15">
        <v>2995.963</v>
      </c>
      <c r="E29" s="15">
        <f>270.3-SUM(E27:E28)</f>
        <v>20.2</v>
      </c>
      <c r="F29" s="19">
        <f>79.8-SUM(F27:F28)</f>
        <v>31.7</v>
      </c>
      <c r="G29" s="19">
        <f>367.1-SUM(G27:G28)</f>
        <v>152.2</v>
      </c>
      <c r="H29" s="17">
        <f>C29/C28-1</f>
        <v>0.0239355425951522</v>
      </c>
      <c r="I29" s="17">
        <f>(E29-F29+G29-C29)/C29</f>
        <v>-0.953675962203273</v>
      </c>
      <c r="J29" s="17">
        <f>('Cashflow '!D30-'Cashflow '!C30)/'Cashflow '!C30</f>
        <v>-1.06397971615792</v>
      </c>
    </row>
    <row r="30" ht="20.05" customHeight="1">
      <c r="B30" s="29"/>
      <c r="C30" s="14"/>
      <c r="D30" s="15">
        <f>'Model'!C6</f>
        <v>3067.673</v>
      </c>
      <c r="E30" s="21"/>
      <c r="F30" s="21"/>
      <c r="G30" s="19"/>
      <c r="H30" s="17"/>
      <c r="I30" s="17">
        <f>'Model'!C7</f>
        <v>-0.953675962203273</v>
      </c>
      <c r="J30" s="17"/>
    </row>
    <row r="31" ht="20.05" customHeight="1">
      <c r="B31" s="30">
        <v>2022</v>
      </c>
      <c r="C31" s="14"/>
      <c r="D31" s="15">
        <f>'Model'!D6</f>
        <v>3527.82395</v>
      </c>
      <c r="E31" s="21"/>
      <c r="F31" s="33"/>
      <c r="G31" s="15"/>
      <c r="H31" s="17"/>
      <c r="I31" s="17"/>
      <c r="J31" s="17"/>
    </row>
    <row r="32" ht="20.05" customHeight="1">
      <c r="B32" s="29"/>
      <c r="C32" s="14"/>
      <c r="D32" s="15">
        <f>'Model'!E6</f>
        <v>3704.2151475</v>
      </c>
      <c r="E32" s="21"/>
      <c r="F32" s="33"/>
      <c r="G32" s="15"/>
      <c r="H32" s="17"/>
      <c r="I32" s="17"/>
      <c r="J32" s="17"/>
    </row>
    <row r="33" ht="20.05" customHeight="1">
      <c r="B33" s="29"/>
      <c r="C33" s="14"/>
      <c r="D33" s="15">
        <f>'Model'!F6</f>
        <v>3778.29945045</v>
      </c>
      <c r="E33" s="21"/>
      <c r="F33" s="33"/>
      <c r="G33" s="15"/>
      <c r="H33" s="17"/>
      <c r="I33" s="17"/>
      <c r="J33" s="17"/>
    </row>
  </sheetData>
  <mergeCells count="1">
    <mergeCell ref="B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I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80469" style="34" customWidth="1"/>
    <col min="2" max="2" width="8.85938" style="34" customWidth="1"/>
    <col min="3" max="9" width="11" style="34" customWidth="1"/>
    <col min="10" max="16384" width="16.3516" style="34" customWidth="1"/>
  </cols>
  <sheetData>
    <row r="1" ht="14.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</row>
    <row r="3" ht="32.25" customHeight="1">
      <c r="B3" t="s" s="4">
        <v>1</v>
      </c>
      <c r="C3" t="s" s="4">
        <v>45</v>
      </c>
      <c r="D3" t="s" s="4">
        <v>46</v>
      </c>
      <c r="E3" t="s" s="4">
        <v>47</v>
      </c>
      <c r="F3" t="s" s="4">
        <v>10</v>
      </c>
      <c r="G3" t="s" s="4">
        <v>48</v>
      </c>
      <c r="H3" t="s" s="4">
        <v>49</v>
      </c>
      <c r="I3" t="s" s="4">
        <v>29</v>
      </c>
    </row>
    <row r="4" ht="20.25" customHeight="1">
      <c r="B4" s="24">
        <v>2015</v>
      </c>
      <c r="C4" s="35">
        <v>2195</v>
      </c>
      <c r="D4" s="27">
        <v>-322</v>
      </c>
      <c r="E4" s="27">
        <v>-56.3</v>
      </c>
      <c r="F4" s="27">
        <v>289.5</v>
      </c>
      <c r="G4" s="27">
        <f>E4+D4</f>
        <v>-378.3</v>
      </c>
      <c r="H4" s="36"/>
      <c r="I4" s="27">
        <f>-F4</f>
        <v>-289.5</v>
      </c>
    </row>
    <row r="5" ht="20.05" customHeight="1">
      <c r="B5" s="29"/>
      <c r="C5" s="18">
        <v>2755</v>
      </c>
      <c r="D5" s="19">
        <v>351.7</v>
      </c>
      <c r="E5" s="19">
        <v>-67.3</v>
      </c>
      <c r="F5" s="19">
        <v>-171.5</v>
      </c>
      <c r="G5" s="19">
        <f>E5+D5</f>
        <v>284.4</v>
      </c>
      <c r="H5" s="31"/>
      <c r="I5" s="19">
        <f>-F5+I4</f>
        <v>-118</v>
      </c>
    </row>
    <row r="6" ht="20.05" customHeight="1">
      <c r="B6" s="29"/>
      <c r="C6" s="18">
        <v>2301</v>
      </c>
      <c r="D6" s="19">
        <v>-90.16</v>
      </c>
      <c r="E6" s="19">
        <v>50.4</v>
      </c>
      <c r="F6" s="19">
        <v>-60.5</v>
      </c>
      <c r="G6" s="19">
        <f>E6+D6</f>
        <v>-39.76</v>
      </c>
      <c r="H6" s="31"/>
      <c r="I6" s="19">
        <f>-F6+I5</f>
        <v>-57.5</v>
      </c>
    </row>
    <row r="7" ht="20.05" customHeight="1">
      <c r="B7" s="29"/>
      <c r="C7" s="18">
        <v>4136</v>
      </c>
      <c r="D7" s="19">
        <v>166.46</v>
      </c>
      <c r="E7" s="19">
        <v>-96.09999999999999</v>
      </c>
      <c r="F7" s="19">
        <v>23</v>
      </c>
      <c r="G7" s="19">
        <f>E7+D7</f>
        <v>70.36</v>
      </c>
      <c r="H7" s="31"/>
      <c r="I7" s="19">
        <f>-F7+I6</f>
        <v>-80.5</v>
      </c>
    </row>
    <row r="8" ht="20.05" customHeight="1">
      <c r="B8" s="30">
        <v>2016</v>
      </c>
      <c r="C8" s="18">
        <v>2661</v>
      </c>
      <c r="D8" s="19">
        <v>131.8</v>
      </c>
      <c r="E8" s="19">
        <v>-42.7</v>
      </c>
      <c r="F8" s="19">
        <v>-90.5</v>
      </c>
      <c r="G8" s="19">
        <f>E8+D8</f>
        <v>89.09999999999999</v>
      </c>
      <c r="H8" s="19">
        <f>AVERAGE(G5:G8)</f>
        <v>101.025</v>
      </c>
      <c r="I8" s="19">
        <f>-F8+I7</f>
        <v>10</v>
      </c>
    </row>
    <row r="9" ht="20.05" customHeight="1">
      <c r="B9" s="29"/>
      <c r="C9" s="18">
        <v>3313</v>
      </c>
      <c r="D9" s="19">
        <v>317.4</v>
      </c>
      <c r="E9" s="19">
        <v>21.4</v>
      </c>
      <c r="F9" s="19">
        <v>-241.2</v>
      </c>
      <c r="G9" s="19">
        <f>E9+D9</f>
        <v>338.8</v>
      </c>
      <c r="H9" s="19">
        <f>AVERAGE(G6:G9)</f>
        <v>114.625</v>
      </c>
      <c r="I9" s="19">
        <f>-F9+I8</f>
        <v>251.2</v>
      </c>
    </row>
    <row r="10" ht="20.05" customHeight="1">
      <c r="B10" s="29"/>
      <c r="C10" s="18">
        <v>3051</v>
      </c>
      <c r="D10" s="19">
        <v>22.3</v>
      </c>
      <c r="E10" s="19">
        <v>-39.2</v>
      </c>
      <c r="F10" s="19">
        <v>129.4</v>
      </c>
      <c r="G10" s="19">
        <f>E10+D10</f>
        <v>-16.9</v>
      </c>
      <c r="H10" s="19">
        <f>AVERAGE(G7:G10)</f>
        <v>120.34</v>
      </c>
      <c r="I10" s="19">
        <f>-F10+I9</f>
        <v>121.8</v>
      </c>
    </row>
    <row r="11" ht="20.05" customHeight="1">
      <c r="B11" s="29"/>
      <c r="C11" s="18">
        <v>3479</v>
      </c>
      <c r="D11" s="19">
        <v>-33.5</v>
      </c>
      <c r="E11" s="19">
        <v>-81.8</v>
      </c>
      <c r="F11" s="19">
        <v>-115.7</v>
      </c>
      <c r="G11" s="19">
        <f>E11+D11</f>
        <v>-115.3</v>
      </c>
      <c r="H11" s="19">
        <f>AVERAGE(G8:G11)</f>
        <v>73.925</v>
      </c>
      <c r="I11" s="19">
        <f>-F11+I10</f>
        <v>237.5</v>
      </c>
    </row>
    <row r="12" ht="20.05" customHeight="1">
      <c r="B12" s="30">
        <v>2017</v>
      </c>
      <c r="C12" s="18">
        <v>3170</v>
      </c>
      <c r="D12" s="19">
        <v>-546.3</v>
      </c>
      <c r="E12" s="19">
        <v>-27</v>
      </c>
      <c r="F12" s="19">
        <v>509.49</v>
      </c>
      <c r="G12" s="19">
        <f>E12+D12</f>
        <v>-573.3</v>
      </c>
      <c r="H12" s="19">
        <f>AVERAGE(G9:G12)</f>
        <v>-91.675</v>
      </c>
      <c r="I12" s="19">
        <f>-F12+I11</f>
        <v>-271.99</v>
      </c>
    </row>
    <row r="13" ht="20.05" customHeight="1">
      <c r="B13" s="29"/>
      <c r="C13" s="18">
        <v>3399</v>
      </c>
      <c r="D13" s="19">
        <v>593.1</v>
      </c>
      <c r="E13" s="19">
        <v>-69.5</v>
      </c>
      <c r="F13" s="19">
        <v>-337.09</v>
      </c>
      <c r="G13" s="19">
        <f>E13+D13</f>
        <v>523.6</v>
      </c>
      <c r="H13" s="19">
        <f>AVERAGE(G10:G13)</f>
        <v>-45.475</v>
      </c>
      <c r="I13" s="19">
        <f>-F13+I12</f>
        <v>65.09999999999999</v>
      </c>
    </row>
    <row r="14" ht="20.05" customHeight="1">
      <c r="B14" s="29"/>
      <c r="C14" s="18">
        <v>3128</v>
      </c>
      <c r="D14" s="19">
        <v>-92</v>
      </c>
      <c r="E14" s="19">
        <v>13.7</v>
      </c>
      <c r="F14" s="19">
        <v>-99.09999999999999</v>
      </c>
      <c r="G14" s="19">
        <f>E14+D14</f>
        <v>-78.3</v>
      </c>
      <c r="H14" s="19">
        <f>AVERAGE(G11:G14)</f>
        <v>-60.825</v>
      </c>
      <c r="I14" s="19">
        <f>-F14+I13</f>
        <v>164.2</v>
      </c>
    </row>
    <row r="15" ht="20.05" customHeight="1">
      <c r="B15" s="29"/>
      <c r="C15" s="18">
        <v>3268</v>
      </c>
      <c r="D15" s="19">
        <v>266.2</v>
      </c>
      <c r="E15" s="19">
        <v>-15.7</v>
      </c>
      <c r="F15" s="19">
        <v>-45</v>
      </c>
      <c r="G15" s="19">
        <f>E15+D15</f>
        <v>250.5</v>
      </c>
      <c r="H15" s="19">
        <f>AVERAGE(G12:G15)</f>
        <v>30.625</v>
      </c>
      <c r="I15" s="19">
        <f>-F15+I14</f>
        <v>209.2</v>
      </c>
    </row>
    <row r="16" ht="20.05" customHeight="1">
      <c r="B16" s="30">
        <v>2018</v>
      </c>
      <c r="C16" s="18">
        <v>3108</v>
      </c>
      <c r="D16" s="19">
        <v>37.98</v>
      </c>
      <c r="E16" s="19">
        <v>10.6</v>
      </c>
      <c r="F16" s="19">
        <v>-13.87</v>
      </c>
      <c r="G16" s="19">
        <f>E16+D16</f>
        <v>48.58</v>
      </c>
      <c r="H16" s="19">
        <f>AVERAGE(G13:G16)</f>
        <v>186.095</v>
      </c>
      <c r="I16" s="19">
        <f>-F16+I15</f>
        <v>223.07</v>
      </c>
    </row>
    <row r="17" ht="20.05" customHeight="1">
      <c r="B17" s="29"/>
      <c r="C17" s="18">
        <v>3733</v>
      </c>
      <c r="D17" s="19">
        <v>432.52</v>
      </c>
      <c r="E17" s="19">
        <v>-41.8</v>
      </c>
      <c r="F17" s="19">
        <v>-280.76</v>
      </c>
      <c r="G17" s="19">
        <f>E17+D17</f>
        <v>390.72</v>
      </c>
      <c r="H17" s="19">
        <f>AVERAGE(G14:G17)</f>
        <v>152.875</v>
      </c>
      <c r="I17" s="19">
        <f>-F17+I16</f>
        <v>503.83</v>
      </c>
    </row>
    <row r="18" ht="20.05" customHeight="1">
      <c r="B18" s="29"/>
      <c r="C18" s="18">
        <v>3558</v>
      </c>
      <c r="D18" s="19">
        <v>-114.9</v>
      </c>
      <c r="E18" s="19">
        <v>-66</v>
      </c>
      <c r="F18" s="19">
        <v>154.63</v>
      </c>
      <c r="G18" s="19">
        <f>E18+D18</f>
        <v>-180.9</v>
      </c>
      <c r="H18" s="19">
        <f>AVERAGE(G15:G18)</f>
        <v>127.225</v>
      </c>
      <c r="I18" s="19">
        <f>-F18+I17</f>
        <v>349.2</v>
      </c>
    </row>
    <row r="19" ht="20.05" customHeight="1">
      <c r="B19" s="29"/>
      <c r="C19" s="18">
        <v>3191</v>
      </c>
      <c r="D19" s="19">
        <v>-65.59999999999999</v>
      </c>
      <c r="E19" s="19">
        <v>-106.2</v>
      </c>
      <c r="F19" s="19">
        <v>72.7</v>
      </c>
      <c r="G19" s="19">
        <f>E19+D19</f>
        <v>-171.8</v>
      </c>
      <c r="H19" s="19">
        <f>AVERAGE(G16:G19)</f>
        <v>21.65</v>
      </c>
      <c r="I19" s="19">
        <f>-F19+I18</f>
        <v>276.5</v>
      </c>
    </row>
    <row r="20" ht="20.05" customHeight="1">
      <c r="B20" s="30">
        <v>2019</v>
      </c>
      <c r="C20" s="18">
        <v>3158</v>
      </c>
      <c r="D20" s="19">
        <v>148.2</v>
      </c>
      <c r="E20" s="19">
        <v>-10.76</v>
      </c>
      <c r="F20" s="19">
        <v>-80.78</v>
      </c>
      <c r="G20" s="19">
        <f>E20+D20</f>
        <v>137.44</v>
      </c>
      <c r="H20" s="19">
        <f>AVERAGE(G17:G20)</f>
        <v>43.865</v>
      </c>
      <c r="I20" s="19">
        <f>-F20+I19</f>
        <v>357.28</v>
      </c>
    </row>
    <row r="21" ht="20.05" customHeight="1">
      <c r="B21" s="29"/>
      <c r="C21" s="18">
        <v>3154</v>
      </c>
      <c r="D21" s="19">
        <v>123.3</v>
      </c>
      <c r="E21" s="19">
        <v>-35.94</v>
      </c>
      <c r="F21" s="19">
        <v>-226.11</v>
      </c>
      <c r="G21" s="19">
        <f>E21+D21</f>
        <v>87.36</v>
      </c>
      <c r="H21" s="19">
        <f>AVERAGE(G18:G21)</f>
        <v>-31.975</v>
      </c>
      <c r="I21" s="19">
        <f>-F21+I20</f>
        <v>583.39</v>
      </c>
    </row>
    <row r="22" ht="20.05" customHeight="1">
      <c r="B22" s="29"/>
      <c r="C22" s="18">
        <v>3407</v>
      </c>
      <c r="D22" s="19">
        <v>198.1</v>
      </c>
      <c r="E22" s="19">
        <v>-37.5</v>
      </c>
      <c r="F22" s="19">
        <v>-35.61</v>
      </c>
      <c r="G22" s="19">
        <f>E22+D22</f>
        <v>160.6</v>
      </c>
      <c r="H22" s="19">
        <f>AVERAGE(G19:G22)</f>
        <v>53.4</v>
      </c>
      <c r="I22" s="19">
        <f>-F22+I21</f>
        <v>619</v>
      </c>
    </row>
    <row r="23" ht="20.05" customHeight="1">
      <c r="B23" s="29"/>
      <c r="C23" s="18">
        <v>3471</v>
      </c>
      <c r="D23" s="19">
        <v>12.4</v>
      </c>
      <c r="E23" s="19">
        <v>-29.8</v>
      </c>
      <c r="F23" s="19">
        <v>83.5</v>
      </c>
      <c r="G23" s="19">
        <f>E23+D23</f>
        <v>-17.4</v>
      </c>
      <c r="H23" s="19">
        <f>AVERAGE(G20:G23)</f>
        <v>92</v>
      </c>
      <c r="I23" s="19">
        <f>-F23+I22</f>
        <v>535.5</v>
      </c>
    </row>
    <row r="24" ht="20.05" customHeight="1">
      <c r="B24" s="30">
        <v>2020</v>
      </c>
      <c r="C24" s="18">
        <v>2930</v>
      </c>
      <c r="D24" s="19">
        <v>67.2</v>
      </c>
      <c r="E24" s="19">
        <v>-3.5</v>
      </c>
      <c r="F24" s="19">
        <v>-64.56999999999999</v>
      </c>
      <c r="G24" s="19">
        <f>E24+D24</f>
        <v>63.7</v>
      </c>
      <c r="H24" s="19">
        <f>AVERAGE(G21:G24)</f>
        <v>73.565</v>
      </c>
      <c r="I24" s="19">
        <f>-F24+I23</f>
        <v>600.0700000000001</v>
      </c>
    </row>
    <row r="25" ht="20.05" customHeight="1">
      <c r="B25" s="29"/>
      <c r="C25" s="18">
        <v>1382</v>
      </c>
      <c r="D25" s="19">
        <v>430.4</v>
      </c>
      <c r="E25" s="19">
        <v>14.7</v>
      </c>
      <c r="F25" s="19">
        <v>-288.03</v>
      </c>
      <c r="G25" s="19">
        <f>E25+D25</f>
        <v>445.1</v>
      </c>
      <c r="H25" s="19">
        <f>AVERAGE(G22:G25)</f>
        <v>163</v>
      </c>
      <c r="I25" s="19">
        <f>-F25+I24</f>
        <v>888.1</v>
      </c>
    </row>
    <row r="26" ht="20.05" customHeight="1">
      <c r="B26" s="29"/>
      <c r="C26" s="18">
        <v>1775</v>
      </c>
      <c r="D26" s="19">
        <v>223.4</v>
      </c>
      <c r="E26" s="19">
        <v>-70.2</v>
      </c>
      <c r="F26" s="19">
        <v>-81.40000000000001</v>
      </c>
      <c r="G26" s="19">
        <f>E26+D26</f>
        <v>153.2</v>
      </c>
      <c r="H26" s="19">
        <f>AVERAGE(G23:G26)</f>
        <v>161.15</v>
      </c>
      <c r="I26" s="19">
        <f>-F26+I25</f>
        <v>969.5</v>
      </c>
    </row>
    <row r="27" ht="20.05" customHeight="1">
      <c r="B27" s="29"/>
      <c r="C27" s="18">
        <f>8392.1-SUM(C24:C26)</f>
        <v>2305.1</v>
      </c>
      <c r="D27" s="19">
        <f>1049.8-SUM(D24:D26)</f>
        <v>328.8</v>
      </c>
      <c r="E27" s="19">
        <f>-71.1-SUM(E24:E26)</f>
        <v>-12.1</v>
      </c>
      <c r="F27" s="19">
        <f>-496.5-SUM(F24:F26)</f>
        <v>-62.5</v>
      </c>
      <c r="G27" s="19">
        <f>E27+D27</f>
        <v>316.7</v>
      </c>
      <c r="H27" s="19">
        <f>AVERAGE(G24:G27)</f>
        <v>244.675</v>
      </c>
      <c r="I27" s="19">
        <f>-F27+I26</f>
        <v>1032</v>
      </c>
    </row>
    <row r="28" ht="20.05" customHeight="1">
      <c r="B28" s="30">
        <v>2021</v>
      </c>
      <c r="C28" s="18">
        <v>2325.6</v>
      </c>
      <c r="D28" s="19">
        <v>87.8</v>
      </c>
      <c r="E28" s="19">
        <v>-5.4</v>
      </c>
      <c r="F28" s="19">
        <f>197.8</f>
        <v>197.8</v>
      </c>
      <c r="G28" s="19">
        <f>E28+D28</f>
        <v>82.40000000000001</v>
      </c>
      <c r="H28" s="19">
        <f>AVERAGE(G25:G28)</f>
        <v>249.35</v>
      </c>
      <c r="I28" s="19">
        <f>-F28+I27</f>
        <v>834.2</v>
      </c>
    </row>
    <row r="29" ht="20.05" customHeight="1">
      <c r="B29" s="29"/>
      <c r="C29" s="18">
        <f>5250.6-C28</f>
        <v>2925</v>
      </c>
      <c r="D29" s="19">
        <f>180.2-D28</f>
        <v>92.40000000000001</v>
      </c>
      <c r="E29" s="19">
        <f>-24.3-E28</f>
        <v>-18.9</v>
      </c>
      <c r="F29" s="19">
        <f>243-F28</f>
        <v>45.2</v>
      </c>
      <c r="G29" s="19">
        <f>E29+D29</f>
        <v>73.5</v>
      </c>
      <c r="H29" s="19">
        <f>AVERAGE(G26:G29)</f>
        <v>156.45</v>
      </c>
      <c r="I29" s="19">
        <f>-F29+I28</f>
        <v>789</v>
      </c>
    </row>
    <row r="30" ht="20.05" customHeight="1">
      <c r="B30" s="29"/>
      <c r="C30" s="18">
        <f>8287.5-SUM(C28:C29)</f>
        <v>3036.9</v>
      </c>
      <c r="D30" s="19">
        <f>-14.1-SUM(D28:D29)</f>
        <v>-194.3</v>
      </c>
      <c r="E30" s="19">
        <f>-49-SUM(E28:E29)</f>
        <v>-24.7</v>
      </c>
      <c r="F30" s="19">
        <f>141.8-SUM(F28:F29)</f>
        <v>-101.2</v>
      </c>
      <c r="G30" s="19">
        <f>E30+D30</f>
        <v>-219</v>
      </c>
      <c r="H30" s="19">
        <f>AVERAGE(G27:G30)</f>
        <v>63.4</v>
      </c>
      <c r="I30" s="19">
        <f>-F30+I29</f>
        <v>890.2</v>
      </c>
    </row>
    <row r="31" ht="20.05" customHeight="1">
      <c r="B31" s="29"/>
      <c r="C31" s="18"/>
      <c r="D31" s="19"/>
      <c r="E31" s="19"/>
      <c r="F31" s="19"/>
      <c r="G31" s="19"/>
      <c r="H31" s="19">
        <f>SUM('Model'!F9:F10)</f>
        <v>150.32608655</v>
      </c>
      <c r="I31" s="19">
        <f>'Model'!F33</f>
        <v>1430.412876715</v>
      </c>
    </row>
  </sheetData>
  <mergeCells count="1">
    <mergeCell ref="B2:I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2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6.15625" style="37" customWidth="1"/>
    <col min="2" max="2" width="10.2734" style="37" customWidth="1"/>
    <col min="3" max="4" width="12.0078" style="37" customWidth="1"/>
    <col min="5" max="10" width="10.2734" style="37" customWidth="1"/>
    <col min="11" max="16384" width="16.3516" style="37" customWidth="1"/>
  </cols>
  <sheetData>
    <row r="1" ht="27.65" customHeight="1">
      <c r="A1" t="s" s="2">
        <v>22</v>
      </c>
      <c r="B1" s="2"/>
      <c r="C1" s="2"/>
      <c r="D1" s="2"/>
      <c r="E1" s="2"/>
      <c r="F1" s="2"/>
      <c r="G1" s="2"/>
      <c r="H1" s="2"/>
      <c r="I1" s="2"/>
      <c r="J1" s="2"/>
    </row>
    <row r="2" ht="32.25" customHeight="1">
      <c r="A2" t="s" s="4">
        <v>1</v>
      </c>
      <c r="B2" t="s" s="4">
        <v>50</v>
      </c>
      <c r="C2" t="s" s="4">
        <v>51</v>
      </c>
      <c r="D2" t="s" s="4">
        <v>23</v>
      </c>
      <c r="E2" t="s" s="4">
        <v>24</v>
      </c>
      <c r="F2" t="s" s="4">
        <v>11</v>
      </c>
      <c r="G2" t="s" s="4">
        <v>52</v>
      </c>
      <c r="H2" t="s" s="4">
        <v>53</v>
      </c>
      <c r="I2" t="s" s="4">
        <v>27</v>
      </c>
      <c r="J2" t="s" s="4">
        <v>34</v>
      </c>
    </row>
    <row r="3" ht="20.25" customHeight="1">
      <c r="A3" s="24">
        <v>2016</v>
      </c>
      <c r="B3" s="35">
        <v>107</v>
      </c>
      <c r="C3" s="27">
        <v>4638</v>
      </c>
      <c r="D3" s="27">
        <f>C3-B3</f>
        <v>4531</v>
      </c>
      <c r="E3" s="27">
        <f>'Sales'!E7</f>
        <v>65.681</v>
      </c>
      <c r="F3" s="27">
        <v>2151</v>
      </c>
      <c r="G3" s="27">
        <v>2487</v>
      </c>
      <c r="H3" s="27">
        <f>F3+G3-B3-D3</f>
        <v>0</v>
      </c>
      <c r="I3" s="27">
        <f>B3-F3</f>
        <v>-2044</v>
      </c>
      <c r="J3" s="27"/>
    </row>
    <row r="4" ht="20.05" customHeight="1">
      <c r="A4" s="29"/>
      <c r="B4" s="18">
        <v>311</v>
      </c>
      <c r="C4" s="19">
        <v>4530</v>
      </c>
      <c r="D4" s="19">
        <f>C4-B4</f>
        <v>4219</v>
      </c>
      <c r="E4" s="19">
        <f>'Sales'!E8+E3</f>
        <v>131.403</v>
      </c>
      <c r="F4" s="19">
        <v>1925</v>
      </c>
      <c r="G4" s="19">
        <v>2605</v>
      </c>
      <c r="H4" s="19">
        <f>F4+G4-B4-D4</f>
        <v>0</v>
      </c>
      <c r="I4" s="19">
        <f>B4-F4</f>
        <v>-1614</v>
      </c>
      <c r="J4" s="19"/>
    </row>
    <row r="5" ht="20.05" customHeight="1">
      <c r="A5" s="29"/>
      <c r="B5" s="18">
        <v>424</v>
      </c>
      <c r="C5" s="19">
        <v>5006</v>
      </c>
      <c r="D5" s="19">
        <f>C5-B5</f>
        <v>4582</v>
      </c>
      <c r="E5" s="19">
        <f>'Sales'!E9+E4</f>
        <v>199.712</v>
      </c>
      <c r="F5" s="19">
        <v>2254</v>
      </c>
      <c r="G5" s="19">
        <v>2752</v>
      </c>
      <c r="H5" s="19">
        <f>F5+G5-B5-D5</f>
        <v>0</v>
      </c>
      <c r="I5" s="19">
        <f>B5-F5</f>
        <v>-1830</v>
      </c>
      <c r="J5" s="19"/>
    </row>
    <row r="6" ht="20.05" customHeight="1">
      <c r="A6" s="29"/>
      <c r="B6" s="18">
        <v>192</v>
      </c>
      <c r="C6" s="19">
        <v>4978</v>
      </c>
      <c r="D6" s="19">
        <f>C6-B6</f>
        <v>4786</v>
      </c>
      <c r="E6" s="19">
        <f>'Sales'!E10+E5</f>
        <v>266.155</v>
      </c>
      <c r="F6" s="19">
        <v>2155</v>
      </c>
      <c r="G6" s="19">
        <v>2823</v>
      </c>
      <c r="H6" s="19">
        <f>F6+G6-B6-D6</f>
        <v>0</v>
      </c>
      <c r="I6" s="19">
        <f>B6-F6</f>
        <v>-1963</v>
      </c>
      <c r="J6" s="19"/>
    </row>
    <row r="7" ht="20.05" customHeight="1">
      <c r="A7" s="30">
        <v>2017</v>
      </c>
      <c r="B7" s="18">
        <v>131</v>
      </c>
      <c r="C7" s="19">
        <v>5467</v>
      </c>
      <c r="D7" s="19">
        <f>C7-B7</f>
        <v>5336</v>
      </c>
      <c r="E7" s="19">
        <f>'Sales'!E11+E6</f>
        <v>311.302</v>
      </c>
      <c r="F7" s="19">
        <v>2535</v>
      </c>
      <c r="G7" s="19">
        <v>2932</v>
      </c>
      <c r="H7" s="19">
        <f>F7+G7-B7-D7</f>
        <v>0</v>
      </c>
      <c r="I7" s="19">
        <f>B7-F7</f>
        <v>-2404</v>
      </c>
      <c r="J7" s="19"/>
    </row>
    <row r="8" ht="20.05" customHeight="1">
      <c r="A8" s="29"/>
      <c r="B8" s="18">
        <v>316</v>
      </c>
      <c r="C8" s="19">
        <v>5173</v>
      </c>
      <c r="D8" s="19">
        <f>C8-B8</f>
        <v>4857</v>
      </c>
      <c r="E8" s="19">
        <f>'Sales'!E12+E7</f>
        <v>361.921</v>
      </c>
      <c r="F8" s="19">
        <v>2237</v>
      </c>
      <c r="G8" s="19">
        <v>2936</v>
      </c>
      <c r="H8" s="19">
        <f>F8+G8-B8-D8</f>
        <v>0</v>
      </c>
      <c r="I8" s="19">
        <f>B8-F8</f>
        <v>-1921</v>
      </c>
      <c r="J8" s="19"/>
    </row>
    <row r="9" ht="20.05" customHeight="1">
      <c r="A9" s="29"/>
      <c r="B9" s="18">
        <v>147</v>
      </c>
      <c r="C9" s="19">
        <v>5332</v>
      </c>
      <c r="D9" s="19">
        <f>C9-B9</f>
        <v>5185</v>
      </c>
      <c r="E9" s="19">
        <f>'Sales'!E13+E8</f>
        <v>416.481</v>
      </c>
      <c r="F9" s="19">
        <v>2285</v>
      </c>
      <c r="G9" s="19">
        <v>3047</v>
      </c>
      <c r="H9" s="19">
        <f>F9+G9-B9-D9</f>
        <v>0</v>
      </c>
      <c r="I9" s="19">
        <f>B9-F9</f>
        <v>-2138</v>
      </c>
      <c r="J9" s="19"/>
    </row>
    <row r="10" ht="20.05" customHeight="1">
      <c r="A10" s="29"/>
      <c r="B10" s="18">
        <v>343</v>
      </c>
      <c r="C10" s="19">
        <v>5465</v>
      </c>
      <c r="D10" s="19">
        <f>C10-B10</f>
        <v>5122</v>
      </c>
      <c r="E10" s="19">
        <f>'Sales'!E14+E9</f>
        <v>467.618</v>
      </c>
      <c r="F10" s="19">
        <v>2327</v>
      </c>
      <c r="G10" s="19">
        <v>3138</v>
      </c>
      <c r="H10" s="19">
        <f>F10+G10-B10-D10</f>
        <v>0</v>
      </c>
      <c r="I10" s="19">
        <f>B10-F10</f>
        <v>-1984</v>
      </c>
      <c r="J10" s="19"/>
    </row>
    <row r="11" ht="20.05" customHeight="1">
      <c r="A11" s="30">
        <v>2018</v>
      </c>
      <c r="B11" s="18">
        <v>378</v>
      </c>
      <c r="C11" s="19">
        <v>5768</v>
      </c>
      <c r="D11" s="19">
        <f>C11-B11</f>
        <v>5390</v>
      </c>
      <c r="E11" s="19">
        <f>'Sales'!E15+E10</f>
        <v>524.217</v>
      </c>
      <c r="F11" s="19">
        <v>2492</v>
      </c>
      <c r="G11" s="19">
        <v>3276</v>
      </c>
      <c r="H11" s="19">
        <f>F11+G11-B11-D11</f>
        <v>0</v>
      </c>
      <c r="I11" s="19">
        <f>B11-F11</f>
        <v>-2114</v>
      </c>
      <c r="J11" s="19"/>
    </row>
    <row r="12" ht="20.05" customHeight="1">
      <c r="A12" s="29"/>
      <c r="B12" s="18">
        <v>487</v>
      </c>
      <c r="C12" s="19">
        <v>5647</v>
      </c>
      <c r="D12" s="19">
        <f>C12-B12</f>
        <v>5160</v>
      </c>
      <c r="E12" s="19">
        <f>'Sales'!E16+E11</f>
        <v>583.22</v>
      </c>
      <c r="F12" s="19">
        <v>2333</v>
      </c>
      <c r="G12" s="19">
        <v>3314</v>
      </c>
      <c r="H12" s="19">
        <f>F12+G12-B12-D12</f>
        <v>0</v>
      </c>
      <c r="I12" s="19">
        <f>B12-F12</f>
        <v>-1846</v>
      </c>
      <c r="J12" s="19"/>
    </row>
    <row r="13" ht="20.05" customHeight="1">
      <c r="A13" s="29"/>
      <c r="B13" s="18">
        <v>441</v>
      </c>
      <c r="C13" s="19">
        <v>5976</v>
      </c>
      <c r="D13" s="19">
        <f>C13-B13</f>
        <v>5535</v>
      </c>
      <c r="E13" s="19">
        <f>'Sales'!E17+E12</f>
        <v>652.001</v>
      </c>
      <c r="F13" s="19">
        <v>2532</v>
      </c>
      <c r="G13" s="19">
        <v>3444</v>
      </c>
      <c r="H13" s="19">
        <f>F13+G13-B13-D13</f>
        <v>0</v>
      </c>
      <c r="I13" s="19">
        <f>B13-F13</f>
        <v>-2091</v>
      </c>
      <c r="J13" s="19"/>
    </row>
    <row r="14" ht="20.05" customHeight="1">
      <c r="A14" s="29"/>
      <c r="B14" s="18">
        <v>362</v>
      </c>
      <c r="C14" s="19">
        <v>6036</v>
      </c>
      <c r="D14" s="19">
        <f>C14-B14</f>
        <v>5674</v>
      </c>
      <c r="E14" s="19">
        <f>'Sales'!E18+E13</f>
        <v>713.724</v>
      </c>
      <c r="F14" s="19">
        <v>2481</v>
      </c>
      <c r="G14" s="19">
        <v>3555</v>
      </c>
      <c r="H14" s="19">
        <f>F14+G14-B14-D14</f>
        <v>0</v>
      </c>
      <c r="I14" s="19">
        <f>B14-F14</f>
        <v>-2119</v>
      </c>
      <c r="J14" s="19"/>
    </row>
    <row r="15" ht="20.05" customHeight="1">
      <c r="A15" s="30">
        <v>2019</v>
      </c>
      <c r="B15" s="18">
        <v>426</v>
      </c>
      <c r="C15" s="19">
        <v>6203</v>
      </c>
      <c r="D15" s="19">
        <f>C15-B15</f>
        <v>5777</v>
      </c>
      <c r="E15" s="19">
        <f>'Sales'!E19+E14</f>
        <v>828.724</v>
      </c>
      <c r="F15" s="19">
        <v>2488</v>
      </c>
      <c r="G15" s="19">
        <v>3715</v>
      </c>
      <c r="H15" s="19">
        <f>F15+G15-B15-D15</f>
        <v>0</v>
      </c>
      <c r="I15" s="19">
        <f>B15-F15</f>
        <v>-2062</v>
      </c>
      <c r="J15" s="19"/>
    </row>
    <row r="16" ht="20.05" customHeight="1">
      <c r="A16" s="29"/>
      <c r="B16" s="18">
        <v>280</v>
      </c>
      <c r="C16" s="19">
        <v>6298</v>
      </c>
      <c r="D16" s="19">
        <f>C16-B16</f>
        <v>6018</v>
      </c>
      <c r="E16" s="19">
        <f>'Sales'!E20+E15</f>
        <v>943.724</v>
      </c>
      <c r="F16" s="19">
        <v>2562</v>
      </c>
      <c r="G16" s="19">
        <v>3736</v>
      </c>
      <c r="H16" s="19">
        <f>F16+G16-B16-D16</f>
        <v>0</v>
      </c>
      <c r="I16" s="19">
        <f>B16-F16</f>
        <v>-2282</v>
      </c>
      <c r="J16" s="19"/>
    </row>
    <row r="17" ht="20.05" customHeight="1">
      <c r="A17" s="29"/>
      <c r="B17" s="18">
        <v>405</v>
      </c>
      <c r="C17" s="19">
        <v>6171</v>
      </c>
      <c r="D17" s="19">
        <f>C17-B17</f>
        <v>5766</v>
      </c>
      <c r="E17" s="19">
        <f>'Sales'!E21+E16</f>
        <v>1058.724</v>
      </c>
      <c r="F17" s="19">
        <v>2313</v>
      </c>
      <c r="G17" s="19">
        <v>3858</v>
      </c>
      <c r="H17" s="19">
        <f>F17+G17-B17-D17</f>
        <v>0</v>
      </c>
      <c r="I17" s="19">
        <f>B17-F17</f>
        <v>-1908</v>
      </c>
      <c r="J17" s="19"/>
    </row>
    <row r="18" ht="20.05" customHeight="1">
      <c r="A18" s="29"/>
      <c r="B18" s="18">
        <v>482.6</v>
      </c>
      <c r="C18" s="19">
        <v>6292.6</v>
      </c>
      <c r="D18" s="19">
        <f>C18-B18</f>
        <v>5810</v>
      </c>
      <c r="E18" s="31">
        <f>841+1</f>
        <v>842</v>
      </c>
      <c r="F18" s="19">
        <v>2343.2</v>
      </c>
      <c r="G18" s="19">
        <v>3949.4</v>
      </c>
      <c r="H18" s="19">
        <f>F18+G18-B18-D18</f>
        <v>0</v>
      </c>
      <c r="I18" s="19">
        <f>B18-F18</f>
        <v>-1860.6</v>
      </c>
      <c r="J18" s="31"/>
    </row>
    <row r="19" ht="20.05" customHeight="1">
      <c r="A19" s="30">
        <v>2020</v>
      </c>
      <c r="B19" s="18">
        <v>470.23</v>
      </c>
      <c r="C19" s="19">
        <v>6346.3</v>
      </c>
      <c r="D19" s="19">
        <f>C19-B19</f>
        <v>5876.07</v>
      </c>
      <c r="E19" s="19">
        <f>'Sales'!E23+E18</f>
        <v>914.0839999999999</v>
      </c>
      <c r="F19" s="19">
        <v>2268.9</v>
      </c>
      <c r="G19" s="19">
        <v>4077.2</v>
      </c>
      <c r="H19" s="19">
        <f>F19+G19-B19-D19</f>
        <v>-0.2</v>
      </c>
      <c r="I19" s="19">
        <f>B19-F19</f>
        <v>-1798.67</v>
      </c>
      <c r="J19" s="31"/>
    </row>
    <row r="20" ht="20.05" customHeight="1">
      <c r="A20" s="29"/>
      <c r="B20" s="18">
        <v>627</v>
      </c>
      <c r="C20" s="19">
        <v>5749</v>
      </c>
      <c r="D20" s="19">
        <f>C20-B20</f>
        <v>5122</v>
      </c>
      <c r="E20" s="19">
        <f>'Sales'!E24+E19</f>
        <v>986.318</v>
      </c>
      <c r="F20" s="19">
        <v>1688</v>
      </c>
      <c r="G20" s="19">
        <v>4061</v>
      </c>
      <c r="H20" s="19">
        <f>F20+G20-B20-D20</f>
        <v>0</v>
      </c>
      <c r="I20" s="19">
        <f>B20-F20</f>
        <v>-1061</v>
      </c>
      <c r="J20" s="31"/>
    </row>
    <row r="21" ht="20.05" customHeight="1">
      <c r="A21" s="29"/>
      <c r="B21" s="18">
        <v>698</v>
      </c>
      <c r="C21" s="19">
        <v>5757</v>
      </c>
      <c r="D21" s="19">
        <f>C21-B21</f>
        <v>5059</v>
      </c>
      <c r="E21" s="31">
        <f>2+875</f>
        <v>877</v>
      </c>
      <c r="F21" s="19">
        <v>1771</v>
      </c>
      <c r="G21" s="19">
        <v>3986</v>
      </c>
      <c r="H21" s="19">
        <f>F21+G21-B21-D21</f>
        <v>0</v>
      </c>
      <c r="I21" s="19">
        <f>B21-F21</f>
        <v>-1073</v>
      </c>
      <c r="J21" s="19"/>
    </row>
    <row r="22" ht="20.05" customHeight="1">
      <c r="A22" s="29"/>
      <c r="B22" s="38">
        <v>953</v>
      </c>
      <c r="C22" s="19">
        <v>5765</v>
      </c>
      <c r="D22" s="19">
        <f>C22-B22</f>
        <v>4812</v>
      </c>
      <c r="E22" s="31">
        <f>2+895</f>
        <v>897</v>
      </c>
      <c r="F22" s="19">
        <v>1894</v>
      </c>
      <c r="G22" s="19">
        <v>3871</v>
      </c>
      <c r="H22" s="19">
        <f>F22+G22-B22-D22</f>
        <v>0</v>
      </c>
      <c r="I22" s="19">
        <f>B22-F22</f>
        <v>-941</v>
      </c>
      <c r="J22" s="19"/>
    </row>
    <row r="23" ht="20.05" customHeight="1">
      <c r="A23" s="30">
        <v>2021</v>
      </c>
      <c r="B23" s="18">
        <v>1233</v>
      </c>
      <c r="C23" s="19">
        <v>6098</v>
      </c>
      <c r="D23" s="19">
        <f>C23-B23</f>
        <v>4865</v>
      </c>
      <c r="E23" s="19">
        <f>2+911</f>
        <v>913</v>
      </c>
      <c r="F23" s="19">
        <v>2125</v>
      </c>
      <c r="G23" s="19">
        <v>3973</v>
      </c>
      <c r="H23" s="19">
        <f>F23+G23-B23-D23</f>
        <v>0</v>
      </c>
      <c r="I23" s="19">
        <f>B23-F23</f>
        <v>-892</v>
      </c>
      <c r="J23" s="19"/>
    </row>
    <row r="24" ht="20.05" customHeight="1">
      <c r="A24" s="29"/>
      <c r="B24" s="18">
        <v>1352</v>
      </c>
      <c r="C24" s="19">
        <v>6357</v>
      </c>
      <c r="D24" s="19">
        <f>C24-B24</f>
        <v>5005</v>
      </c>
      <c r="E24" s="19">
        <f>2+930</f>
        <v>932</v>
      </c>
      <c r="F24" s="19">
        <v>2260</v>
      </c>
      <c r="G24" s="19">
        <v>4097</v>
      </c>
      <c r="H24" s="19">
        <f>F24+G24-B24-D24</f>
        <v>0</v>
      </c>
      <c r="I24" s="19">
        <f>B24-F24</f>
        <v>-908</v>
      </c>
      <c r="J24" s="19"/>
    </row>
    <row r="25" ht="20.05" customHeight="1">
      <c r="A25" s="29"/>
      <c r="B25" s="18">
        <v>1032</v>
      </c>
      <c r="C25" s="19">
        <v>6359</v>
      </c>
      <c r="D25" s="19">
        <f>C25-B25</f>
        <v>5327</v>
      </c>
      <c r="E25" s="19">
        <f>2+918</f>
        <v>920</v>
      </c>
      <c r="F25" s="19">
        <v>2148</v>
      </c>
      <c r="G25" s="19">
        <v>4211</v>
      </c>
      <c r="H25" s="19">
        <f>F25+G25-B25-D25</f>
        <v>0</v>
      </c>
      <c r="I25" s="19">
        <f>B25-F25</f>
        <v>-1116</v>
      </c>
      <c r="J25" s="19">
        <f>I25</f>
        <v>-1116</v>
      </c>
    </row>
    <row r="26" ht="20.05" customHeight="1">
      <c r="A26" s="29"/>
      <c r="B26" s="18"/>
      <c r="C26" s="19"/>
      <c r="D26" s="19">
        <f>C26-B26</f>
        <v>0</v>
      </c>
      <c r="E26" s="19"/>
      <c r="F26" s="19"/>
      <c r="G26" s="19"/>
      <c r="H26" s="19"/>
      <c r="I26" s="19"/>
      <c r="J26" s="19">
        <f>'Model'!F31</f>
        <v>-704.421962665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9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24219" style="39" customWidth="1"/>
    <col min="2" max="2" width="7.60938" style="39" customWidth="1"/>
    <col min="3" max="3" width="8.99219" style="39" customWidth="1"/>
    <col min="4" max="4" width="8.85156" style="39" customWidth="1"/>
    <col min="5" max="16384" width="16.3516" style="39" customWidth="1"/>
  </cols>
  <sheetData>
    <row r="1" ht="40.5" customHeight="1"/>
    <row r="2" ht="27.65" customHeight="1">
      <c r="B2" t="s" s="2">
        <v>54</v>
      </c>
      <c r="C2" s="2"/>
      <c r="D2" s="2"/>
    </row>
    <row r="3" ht="20.85" customHeight="1">
      <c r="B3" s="5"/>
      <c r="C3" t="s" s="40">
        <v>54</v>
      </c>
      <c r="D3" t="s" s="41">
        <v>37</v>
      </c>
    </row>
    <row r="4" ht="21.2" customHeight="1">
      <c r="B4" s="24">
        <v>2014</v>
      </c>
      <c r="C4" s="42">
        <v>605</v>
      </c>
      <c r="D4" s="43"/>
    </row>
    <row r="5" ht="20.7" customHeight="1">
      <c r="B5" s="29"/>
      <c r="C5" s="44">
        <v>650</v>
      </c>
      <c r="D5" s="45"/>
    </row>
    <row r="6" ht="20.7" customHeight="1">
      <c r="B6" s="29"/>
      <c r="C6" s="44">
        <v>675</v>
      </c>
      <c r="D6" s="45"/>
    </row>
    <row r="7" ht="20.7" customHeight="1">
      <c r="B7" s="29"/>
      <c r="C7" s="44">
        <v>675</v>
      </c>
      <c r="D7" s="45"/>
    </row>
    <row r="8" ht="20.7" customHeight="1">
      <c r="B8" s="29"/>
      <c r="C8" s="44">
        <v>660</v>
      </c>
      <c r="D8" s="45"/>
    </row>
    <row r="9" ht="20.7" customHeight="1">
      <c r="B9" s="29"/>
      <c r="C9" s="44">
        <v>680</v>
      </c>
      <c r="D9" s="45"/>
    </row>
    <row r="10" ht="20.7" customHeight="1">
      <c r="B10" s="29"/>
      <c r="C10" s="44">
        <v>725</v>
      </c>
      <c r="D10" s="45"/>
    </row>
    <row r="11" ht="20.7" customHeight="1">
      <c r="B11" s="29"/>
      <c r="C11" s="44">
        <v>695</v>
      </c>
      <c r="D11" s="45"/>
    </row>
    <row r="12" ht="20.7" customHeight="1">
      <c r="B12" s="29"/>
      <c r="C12" s="44">
        <v>695</v>
      </c>
      <c r="D12" s="45"/>
    </row>
    <row r="13" ht="20.7" customHeight="1">
      <c r="B13" s="29"/>
      <c r="C13" s="44">
        <v>620</v>
      </c>
      <c r="D13" s="45"/>
    </row>
    <row r="14" ht="20.7" customHeight="1">
      <c r="B14" s="29"/>
      <c r="C14" s="44">
        <v>610</v>
      </c>
      <c r="D14" s="45"/>
    </row>
    <row r="15" ht="20.7" customHeight="1">
      <c r="B15" s="29"/>
      <c r="C15" s="44">
        <v>605</v>
      </c>
      <c r="D15" s="45"/>
    </row>
    <row r="16" ht="20.7" customHeight="1">
      <c r="B16" s="30">
        <v>2015</v>
      </c>
      <c r="C16" s="44">
        <v>670</v>
      </c>
      <c r="D16" s="45"/>
    </row>
    <row r="17" ht="20.7" customHeight="1">
      <c r="B17" s="29"/>
      <c r="C17" s="44">
        <v>700</v>
      </c>
      <c r="D17" s="45"/>
    </row>
    <row r="18" ht="20.7" customHeight="1">
      <c r="B18" s="29"/>
      <c r="C18" s="44">
        <v>725</v>
      </c>
      <c r="D18" s="45"/>
    </row>
    <row r="19" ht="20.7" customHeight="1">
      <c r="B19" s="29"/>
      <c r="C19" s="44">
        <v>715</v>
      </c>
      <c r="D19" s="45"/>
    </row>
    <row r="20" ht="20.7" customHeight="1">
      <c r="B20" s="29"/>
      <c r="C20" s="44">
        <v>715</v>
      </c>
      <c r="D20" s="45"/>
    </row>
    <row r="21" ht="20.7" customHeight="1">
      <c r="B21" s="29"/>
      <c r="C21" s="44">
        <v>675</v>
      </c>
      <c r="D21" s="45"/>
    </row>
    <row r="22" ht="20.7" customHeight="1">
      <c r="B22" s="29"/>
      <c r="C22" s="44">
        <v>640</v>
      </c>
      <c r="D22" s="45"/>
    </row>
    <row r="23" ht="20.7" customHeight="1">
      <c r="B23" s="29"/>
      <c r="C23" s="44">
        <v>510</v>
      </c>
      <c r="D23" s="45"/>
    </row>
    <row r="24" ht="20.7" customHeight="1">
      <c r="B24" s="29"/>
      <c r="C24" s="44">
        <v>510</v>
      </c>
      <c r="D24" s="45"/>
    </row>
    <row r="25" ht="20.7" customHeight="1">
      <c r="B25" s="29"/>
      <c r="C25" s="44">
        <v>545</v>
      </c>
      <c r="D25" s="45"/>
    </row>
    <row r="26" ht="20.7" customHeight="1">
      <c r="B26" s="29"/>
      <c r="C26" s="44">
        <v>550</v>
      </c>
      <c r="D26" s="45"/>
    </row>
    <row r="27" ht="20.7" customHeight="1">
      <c r="B27" s="29"/>
      <c r="C27" s="44">
        <v>600</v>
      </c>
      <c r="D27" s="45"/>
    </row>
    <row r="28" ht="20.7" customHeight="1">
      <c r="B28" s="30">
        <v>2016</v>
      </c>
      <c r="C28" s="44">
        <v>750</v>
      </c>
      <c r="D28" s="45"/>
    </row>
    <row r="29" ht="20.7" customHeight="1">
      <c r="B29" s="29"/>
      <c r="C29" s="44">
        <v>850</v>
      </c>
      <c r="D29" s="45"/>
    </row>
    <row r="30" ht="20.7" customHeight="1">
      <c r="B30" s="29"/>
      <c r="C30" s="44">
        <v>850</v>
      </c>
      <c r="D30" s="45"/>
    </row>
    <row r="31" ht="20.7" customHeight="1">
      <c r="B31" s="29"/>
      <c r="C31" s="44">
        <v>1075</v>
      </c>
      <c r="D31" s="45"/>
    </row>
    <row r="32" ht="20.7" customHeight="1">
      <c r="B32" s="29"/>
      <c r="C32" s="44">
        <v>1355</v>
      </c>
      <c r="D32" s="45"/>
    </row>
    <row r="33" ht="20.7" customHeight="1">
      <c r="B33" s="29"/>
      <c r="C33" s="44">
        <v>1285</v>
      </c>
      <c r="D33" s="45"/>
    </row>
    <row r="34" ht="20.7" customHeight="1">
      <c r="B34" s="29"/>
      <c r="C34" s="44">
        <v>1350</v>
      </c>
      <c r="D34" s="45"/>
    </row>
    <row r="35" ht="20.7" customHeight="1">
      <c r="B35" s="29"/>
      <c r="C35" s="44">
        <v>1450</v>
      </c>
      <c r="D35" s="45"/>
    </row>
    <row r="36" ht="20.7" customHeight="1">
      <c r="B36" s="29"/>
      <c r="C36" s="44">
        <v>1375</v>
      </c>
      <c r="D36" s="45"/>
    </row>
    <row r="37" ht="20.7" customHeight="1">
      <c r="B37" s="29"/>
      <c r="C37" s="44">
        <v>1400</v>
      </c>
      <c r="D37" s="45"/>
    </row>
    <row r="38" ht="20.7" customHeight="1">
      <c r="B38" s="29"/>
      <c r="C38" s="44">
        <v>1290</v>
      </c>
      <c r="D38" s="45"/>
    </row>
    <row r="39" ht="20.7" customHeight="1">
      <c r="B39" s="29"/>
      <c r="C39" s="44">
        <v>1300</v>
      </c>
      <c r="D39" s="45"/>
    </row>
    <row r="40" ht="20.7" customHeight="1">
      <c r="B40" s="30">
        <v>2017</v>
      </c>
      <c r="C40" s="44">
        <v>1350</v>
      </c>
      <c r="D40" s="45"/>
    </row>
    <row r="41" ht="20.7" customHeight="1">
      <c r="B41" s="29"/>
      <c r="C41" s="44">
        <v>1345</v>
      </c>
      <c r="D41" s="45"/>
    </row>
    <row r="42" ht="20.7" customHeight="1">
      <c r="B42" s="29"/>
      <c r="C42" s="44">
        <v>1200</v>
      </c>
      <c r="D42" s="45"/>
    </row>
    <row r="43" ht="20.7" customHeight="1">
      <c r="B43" s="29"/>
      <c r="C43" s="44">
        <v>1325</v>
      </c>
      <c r="D43" s="45"/>
    </row>
    <row r="44" ht="20.7" customHeight="1">
      <c r="B44" s="29"/>
      <c r="C44" s="44">
        <v>1140</v>
      </c>
      <c r="D44" s="45"/>
    </row>
    <row r="45" ht="20.7" customHeight="1">
      <c r="B45" s="29"/>
      <c r="C45" s="44">
        <v>1145</v>
      </c>
      <c r="D45" s="45"/>
    </row>
    <row r="46" ht="20.7" customHeight="1">
      <c r="B46" s="29"/>
      <c r="C46" s="44">
        <v>1100</v>
      </c>
      <c r="D46" s="45"/>
    </row>
    <row r="47" ht="20.7" customHeight="1">
      <c r="B47" s="29"/>
      <c r="C47" s="44">
        <v>1070</v>
      </c>
      <c r="D47" s="45"/>
    </row>
    <row r="48" ht="20.7" customHeight="1">
      <c r="B48" s="29"/>
      <c r="C48" s="44">
        <v>1150</v>
      </c>
      <c r="D48" s="45"/>
    </row>
    <row r="49" ht="20.7" customHeight="1">
      <c r="B49" s="29"/>
      <c r="C49" s="44">
        <v>1150</v>
      </c>
      <c r="D49" s="45"/>
    </row>
    <row r="50" ht="20.7" customHeight="1">
      <c r="B50" s="29"/>
      <c r="C50" s="44">
        <v>1140</v>
      </c>
      <c r="D50" s="45"/>
    </row>
    <row r="51" ht="20.7" customHeight="1">
      <c r="B51" s="29"/>
      <c r="C51" s="44">
        <v>1130</v>
      </c>
      <c r="D51" s="45"/>
    </row>
    <row r="52" ht="20.7" customHeight="1">
      <c r="B52" s="30">
        <v>2018</v>
      </c>
      <c r="C52" s="44">
        <v>1190</v>
      </c>
      <c r="D52" s="45"/>
    </row>
    <row r="53" ht="20.7" customHeight="1">
      <c r="B53" s="29"/>
      <c r="C53" s="44">
        <v>1495</v>
      </c>
      <c r="D53" s="45"/>
    </row>
    <row r="54" ht="20.7" customHeight="1">
      <c r="B54" s="29"/>
      <c r="C54" s="44">
        <v>1360</v>
      </c>
      <c r="D54" s="45"/>
    </row>
    <row r="55" ht="20.7" customHeight="1">
      <c r="B55" s="29"/>
      <c r="C55" s="44">
        <v>1350</v>
      </c>
      <c r="D55" s="45"/>
    </row>
    <row r="56" ht="20.7" customHeight="1">
      <c r="B56" s="29"/>
      <c r="C56" s="44">
        <v>1335</v>
      </c>
      <c r="D56" s="45"/>
    </row>
    <row r="57" ht="20.7" customHeight="1">
      <c r="B57" s="29"/>
      <c r="C57" s="44">
        <v>1285</v>
      </c>
      <c r="D57" s="45"/>
    </row>
    <row r="58" ht="20.7" customHeight="1">
      <c r="B58" s="29"/>
      <c r="C58" s="44">
        <v>1200</v>
      </c>
      <c r="D58" s="45"/>
    </row>
    <row r="59" ht="20.7" customHeight="1">
      <c r="B59" s="29"/>
      <c r="C59" s="44">
        <v>1130</v>
      </c>
      <c r="D59" s="45"/>
    </row>
    <row r="60" ht="20.7" customHeight="1">
      <c r="B60" s="29"/>
      <c r="C60" s="44">
        <v>1115</v>
      </c>
      <c r="D60" s="45"/>
    </row>
    <row r="61" ht="20.7" customHeight="1">
      <c r="B61" s="29"/>
      <c r="C61" s="44">
        <v>1145</v>
      </c>
      <c r="D61" s="45"/>
    </row>
    <row r="62" ht="20.7" customHeight="1">
      <c r="B62" s="29"/>
      <c r="C62" s="44">
        <v>1155</v>
      </c>
      <c r="D62" s="45"/>
    </row>
    <row r="63" ht="20.7" customHeight="1">
      <c r="B63" s="29"/>
      <c r="C63" s="44">
        <v>1190</v>
      </c>
      <c r="D63" s="45"/>
    </row>
    <row r="64" ht="20.7" customHeight="1">
      <c r="B64" s="30">
        <v>2019</v>
      </c>
      <c r="C64" s="44">
        <v>1170</v>
      </c>
      <c r="D64" s="45"/>
    </row>
    <row r="65" ht="20.7" customHeight="1">
      <c r="B65" s="29"/>
      <c r="C65" s="46">
        <v>1195</v>
      </c>
      <c r="D65" s="47"/>
    </row>
    <row r="66" ht="20.7" customHeight="1">
      <c r="B66" s="29"/>
      <c r="C66" s="44">
        <v>1165</v>
      </c>
      <c r="D66" s="45"/>
    </row>
    <row r="67" ht="20.7" customHeight="1">
      <c r="B67" s="29"/>
      <c r="C67" s="44">
        <v>1160</v>
      </c>
      <c r="D67" s="45"/>
    </row>
    <row r="68" ht="20.7" customHeight="1">
      <c r="B68" s="29"/>
      <c r="C68" s="44">
        <v>1105</v>
      </c>
      <c r="D68" s="45"/>
    </row>
    <row r="69" ht="20.7" customHeight="1">
      <c r="B69" s="29"/>
      <c r="C69" s="44">
        <v>1100</v>
      </c>
      <c r="D69" s="45"/>
    </row>
    <row r="70" ht="20.7" customHeight="1">
      <c r="B70" s="29"/>
      <c r="C70" s="44">
        <v>1030</v>
      </c>
      <c r="D70" s="45"/>
    </row>
    <row r="71" ht="20.7" customHeight="1">
      <c r="B71" s="29"/>
      <c r="C71" s="44">
        <v>1000</v>
      </c>
      <c r="D71" s="45"/>
    </row>
    <row r="72" ht="20.7" customHeight="1">
      <c r="B72" s="29"/>
      <c r="C72" s="44">
        <v>995</v>
      </c>
      <c r="D72" s="45"/>
    </row>
    <row r="73" ht="20.7" customHeight="1">
      <c r="B73" s="29"/>
      <c r="C73" s="44">
        <v>990</v>
      </c>
      <c r="D73" s="48"/>
    </row>
    <row r="74" ht="20.7" customHeight="1">
      <c r="B74" s="29"/>
      <c r="C74" s="44">
        <v>925</v>
      </c>
      <c r="D74" s="21"/>
    </row>
    <row r="75" ht="20.7" customHeight="1">
      <c r="B75" s="29"/>
      <c r="C75" s="44">
        <v>900</v>
      </c>
      <c r="D75" s="21"/>
    </row>
    <row r="76" ht="20.35" customHeight="1">
      <c r="B76" s="30">
        <v>2020</v>
      </c>
      <c r="C76" s="49">
        <v>980</v>
      </c>
      <c r="D76" s="21"/>
    </row>
    <row r="77" ht="20.05" customHeight="1">
      <c r="B77" s="29"/>
      <c r="C77" s="50">
        <v>1240</v>
      </c>
      <c r="D77" s="21"/>
    </row>
    <row r="78" ht="20.05" customHeight="1">
      <c r="B78" s="29"/>
      <c r="C78" s="50">
        <v>1270</v>
      </c>
      <c r="D78" s="21"/>
    </row>
    <row r="79" ht="20.05" customHeight="1">
      <c r="B79" s="29"/>
      <c r="C79" s="50">
        <v>1210</v>
      </c>
      <c r="D79" s="21"/>
    </row>
    <row r="80" ht="20.05" customHeight="1">
      <c r="B80" s="29"/>
      <c r="C80" s="50">
        <v>1410</v>
      </c>
      <c r="D80" s="21"/>
    </row>
    <row r="81" ht="20.05" customHeight="1">
      <c r="B81" s="29"/>
      <c r="C81" s="50">
        <v>1370</v>
      </c>
      <c r="D81" s="21"/>
    </row>
    <row r="82" ht="20.05" customHeight="1">
      <c r="B82" s="29"/>
      <c r="C82" s="18">
        <v>1400</v>
      </c>
      <c r="D82" s="21"/>
    </row>
    <row r="83" ht="20.05" customHeight="1">
      <c r="B83" s="29"/>
      <c r="C83" s="18">
        <v>1340</v>
      </c>
      <c r="D83" s="21"/>
    </row>
    <row r="84" ht="20.05" customHeight="1">
      <c r="B84" s="29"/>
      <c r="C84" s="18">
        <v>1280</v>
      </c>
      <c r="D84" s="21"/>
    </row>
    <row r="85" ht="20.05" customHeight="1">
      <c r="B85" s="29"/>
      <c r="C85" s="18">
        <v>1310</v>
      </c>
      <c r="D85" s="21"/>
    </row>
    <row r="86" ht="20.05" customHeight="1">
      <c r="B86" s="29"/>
      <c r="C86" s="18">
        <v>1300</v>
      </c>
      <c r="D86" s="21"/>
    </row>
    <row r="87" ht="20.05" customHeight="1">
      <c r="B87" s="29"/>
      <c r="C87" s="18">
        <v>1300</v>
      </c>
      <c r="D87" s="21"/>
    </row>
    <row r="88" ht="20.05" customHeight="1">
      <c r="B88" s="30">
        <v>2021</v>
      </c>
      <c r="C88" s="18">
        <v>1500</v>
      </c>
      <c r="D88" s="21"/>
    </row>
    <row r="89" ht="20.05" customHeight="1">
      <c r="B89" s="29"/>
      <c r="C89" s="18">
        <v>1175</v>
      </c>
      <c r="D89" s="21"/>
    </row>
    <row r="90" ht="20.05" customHeight="1">
      <c r="B90" s="29"/>
      <c r="C90" s="18">
        <v>1240</v>
      </c>
      <c r="D90" s="21"/>
    </row>
    <row r="91" ht="20.05" customHeight="1">
      <c r="B91" s="29"/>
      <c r="C91" s="18">
        <v>1230</v>
      </c>
      <c r="D91" s="21"/>
    </row>
    <row r="92" ht="20.05" customHeight="1">
      <c r="B92" s="29"/>
      <c r="C92" s="18">
        <v>1150</v>
      </c>
      <c r="D92" s="21"/>
    </row>
    <row r="93" ht="20.05" customHeight="1">
      <c r="B93" s="29"/>
      <c r="C93" s="18">
        <v>1150</v>
      </c>
      <c r="D93" s="21"/>
    </row>
    <row r="94" ht="20.05" customHeight="1">
      <c r="B94" s="29"/>
      <c r="C94" s="18">
        <v>1150</v>
      </c>
      <c r="D94" s="21"/>
    </row>
    <row r="95" ht="20.05" customHeight="1">
      <c r="B95" s="29"/>
      <c r="C95" s="18">
        <v>1300</v>
      </c>
      <c r="D95" s="21"/>
    </row>
    <row r="96" ht="20.05" customHeight="1">
      <c r="B96" s="29"/>
      <c r="C96" s="18">
        <v>1360</v>
      </c>
      <c r="D96" s="21"/>
    </row>
    <row r="97" ht="20.05" customHeight="1">
      <c r="B97" s="29"/>
      <c r="C97" s="18">
        <v>1255</v>
      </c>
      <c r="D97" s="21"/>
    </row>
    <row r="98" ht="20.05" customHeight="1">
      <c r="B98" s="29"/>
      <c r="C98" s="18">
        <v>1380</v>
      </c>
      <c r="D98" s="19">
        <f>C98</f>
        <v>1380</v>
      </c>
    </row>
    <row r="99" ht="20.05" customHeight="1">
      <c r="B99" s="29"/>
      <c r="C99" s="18"/>
      <c r="D99" s="19">
        <f>'Model'!F43</f>
        <v>1983.437578932470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