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<sst xmlns="http://schemas.openxmlformats.org/spreadsheetml/2006/main" uniqueCount="58">
  <si>
    <t>Financial model</t>
  </si>
  <si>
    <t>Rp bn</t>
  </si>
  <si>
    <t>4Q 2021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</si>
  <si>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</si>
  <si>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</si>
  <si>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</si>
  <si>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</si>
  <si>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</si>
  <si>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</si>
  <si>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>Investment</t>
  </si>
  <si>
    <t>Leases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</si>
  <si>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</si>
  <si>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</si>
  <si>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</si>
  <si>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</si>
  <si>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</si>
  <si>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</si>
  <si>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</si>
  <si>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</si>
  <si>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</si>
  <si>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</si>
  <si>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</si>
  <si>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</si>
  <si>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</si>
  <si>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</si>
  <si>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</si>
  <si>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</si>
  <si>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</si>
  <si>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</si>
  <si>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</si>
  <si>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</si>
  <si>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</si>
  <si>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>Cashflow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</si>
  <si>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</si>
  <si>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</si>
  <si>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</si>
  <si>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</si>
  <si>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</si>
  <si>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</si>
  <si>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</si>
  <si>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</si>
  <si>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v forecast </t>
  </si>
  <si>
    <t>Non cash costs</t>
  </si>
  <si>
    <t>Profit</t>
  </si>
  <si>
    <t xml:space="preserve">Sales growth </t>
  </si>
  <si>
    <t>Cashflow costs</t>
  </si>
  <si>
    <t>Receipts</t>
  </si>
  <si>
    <t>Capex</t>
  </si>
  <si>
    <t xml:space="preserve">Free cashflow </t>
  </si>
  <si>
    <t>Capital</t>
  </si>
  <si>
    <t>Cash</t>
  </si>
  <si>
    <t>Assets</t>
  </si>
  <si>
    <t>Multi financing</t>
  </si>
  <si>
    <t>Leasing liabilities</t>
  </si>
  <si>
    <t>Check</t>
  </si>
  <si>
    <t>Share price</t>
  </si>
  <si>
    <t>TSPC</t>
  </si>
  <si>
    <t>Target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</si>
</sst>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borderId="7" applyNumberFormat="0" applyFont="1" applyFill="0" applyBorder="1" applyAlignment="1" applyProtection="0">
      <alignment horizontal="right" vertical="top" wrapText="1"/>
    </xf>
    <xf numFmtId="3" fontId="3" borderId="7" applyNumberFormat="1" applyFont="1" applyFill="0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815392</xdr:colOff>
      <xdr:row>1</xdr:row>
      <xdr:rowOff>288926</xdr:rowOff>
    </xdr:from>
    <xdr:to>
      <xdr:col>13</xdr:col>
      <xdr:colOff>570961</xdr:colOff>
      <xdr:row>46</xdr:row>
      <xdr:rowOff>110653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866692" y="441326"/>
          <a:ext cx="8467770" cy="1138190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4.7656" style="1" customWidth="1"/>
    <col min="3" max="6" width="9.11719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AVERAGE('Sales'!G22:G25)</f>
        <v>0.0118189512861288</v>
      </c>
      <c r="D4" s="8"/>
      <c r="E4" s="8"/>
      <c r="F4" s="9">
        <f>AVERAGE(C5:F5)</f>
        <v>0.0325</v>
      </c>
    </row>
    <row r="5" ht="20.05" customHeight="1">
      <c r="B5" t="s" s="10">
        <v>4</v>
      </c>
      <c r="C5" s="11">
        <v>0.05</v>
      </c>
      <c r="D5" s="12">
        <v>-0.01</v>
      </c>
      <c r="E5" s="12">
        <v>0.02</v>
      </c>
      <c r="F5" s="12">
        <v>0.07000000000000001</v>
      </c>
    </row>
    <row r="6" ht="20.05" customHeight="1">
      <c r="B6" t="s" s="10">
        <v>5</v>
      </c>
      <c r="C6" s="13">
        <f>'Sales'!C25*(1+C5)</f>
        <v>3002.895</v>
      </c>
      <c r="D6" s="14">
        <f>C6*(1+D5)</f>
        <v>2972.86605</v>
      </c>
      <c r="E6" s="14">
        <f>D6*(1+E5)</f>
        <v>3032.323371</v>
      </c>
      <c r="F6" s="14">
        <f>E6*(1+F5)</f>
        <v>3244.58600697</v>
      </c>
    </row>
    <row r="7" ht="20.05" customHeight="1">
      <c r="B7" t="s" s="10">
        <v>6</v>
      </c>
      <c r="C7" s="11">
        <f>AVERAGE('Sales'!H25)</f>
        <v>-0.9242980523794539</v>
      </c>
      <c r="D7" s="12">
        <f>'Sales'!H11</f>
        <v>-0.888278003945104</v>
      </c>
      <c r="E7" s="12">
        <f>'Sales'!H20</f>
        <v>-0.930756159728122</v>
      </c>
      <c r="F7" s="12">
        <f>'Sales'!H21</f>
        <v>-0.926556562408652</v>
      </c>
    </row>
    <row r="8" ht="20.05" customHeight="1">
      <c r="B8" t="s" s="10">
        <v>7</v>
      </c>
      <c r="C8" s="15">
        <f>C6*C7</f>
        <v>-2775.57</v>
      </c>
      <c r="D8" s="16">
        <f>D6*D7</f>
        <v>-2640.731520890170</v>
      </c>
      <c r="E8" s="16">
        <f>E6*E7</f>
        <v>-2822.353655845790</v>
      </c>
      <c r="F8" s="16">
        <f>F6*F7</f>
        <v>-3006.292457057340</v>
      </c>
    </row>
    <row r="9" ht="20.05" customHeight="1">
      <c r="B9" t="s" s="10">
        <v>8</v>
      </c>
      <c r="C9" s="15">
        <f>C6+C8</f>
        <v>227.325</v>
      </c>
      <c r="D9" s="16">
        <f>D6+D8</f>
        <v>332.134529109830</v>
      </c>
      <c r="E9" s="16">
        <f>E6+E8</f>
        <v>209.969715154210</v>
      </c>
      <c r="F9" s="16">
        <f>F6+F8</f>
        <v>238.293549912660</v>
      </c>
    </row>
    <row r="10" ht="20.05" customHeight="1">
      <c r="B10" t="s" s="10">
        <v>9</v>
      </c>
      <c r="C10" s="15">
        <f>AVERAGE('Cashflow '!G25)</f>
        <v>-96.7</v>
      </c>
      <c r="D10" s="16">
        <f>C10</f>
        <v>-96.7</v>
      </c>
      <c r="E10" s="16">
        <f>D10</f>
        <v>-96.7</v>
      </c>
      <c r="F10" s="16">
        <f>E10</f>
        <v>-96.7</v>
      </c>
    </row>
    <row r="11" ht="20.05" customHeight="1">
      <c r="B11" t="s" s="10">
        <v>10</v>
      </c>
      <c r="C11" s="15">
        <f>'Cashflow '!D26</f>
        <v>-18.2</v>
      </c>
      <c r="D11" s="16">
        <f>C11</f>
        <v>-18.2</v>
      </c>
      <c r="E11" s="16">
        <f>D11</f>
        <v>-18.2</v>
      </c>
      <c r="F11" s="16">
        <f>E11</f>
        <v>-18.2</v>
      </c>
    </row>
    <row r="12" ht="20.05" customHeight="1">
      <c r="B12" t="s" s="10">
        <v>11</v>
      </c>
      <c r="C12" s="15">
        <f>C13+C14+C16</f>
        <v>-130.625</v>
      </c>
      <c r="D12" s="16">
        <f>D13+D14+D16</f>
        <v>-235.434529109830</v>
      </c>
      <c r="E12" s="16">
        <f>E13+E14+E16</f>
        <v>-113.269715154210</v>
      </c>
      <c r="F12" s="16">
        <f>F13+F14+F16</f>
        <v>-141.593549912660</v>
      </c>
    </row>
    <row r="13" ht="20.05" customHeight="1">
      <c r="B13" t="s" s="10">
        <v>12</v>
      </c>
      <c r="C13" s="15">
        <f>-'Balance sheet'!I26/20</f>
        <v>-146.2</v>
      </c>
      <c r="D13" s="16">
        <f>-C27/20</f>
        <v>-138.89</v>
      </c>
      <c r="E13" s="16">
        <f>-D27/20</f>
        <v>-131.9455</v>
      </c>
      <c r="F13" s="16">
        <f>-E27/20</f>
        <v>-125.348225</v>
      </c>
    </row>
    <row r="14" ht="20.05" customHeight="1">
      <c r="B14" t="s" s="10">
        <v>13</v>
      </c>
      <c r="C14" s="15">
        <f>IF(C22&gt;0,-C22*0.4,0)</f>
        <v>-62.29</v>
      </c>
      <c r="D14" s="16">
        <f>IF(D22&gt;0,-D22*0.4,0)</f>
        <v>-104.213811643932</v>
      </c>
      <c r="E14" s="16">
        <f>IF(E22&gt;0,-E22*0.4,0)</f>
        <v>-55.347886061684</v>
      </c>
      <c r="F14" s="16">
        <f>IF(F22&gt;0,-F22*0.4,0)</f>
        <v>-66.677419965064</v>
      </c>
    </row>
    <row r="15" ht="20.05" customHeight="1">
      <c r="B15" t="s" s="10">
        <v>14</v>
      </c>
      <c r="C15" s="15">
        <f>C9+C10+C13+C14</f>
        <v>-77.86499999999999</v>
      </c>
      <c r="D15" s="16">
        <f>D9+D10+D13+D14</f>
        <v>-7.669282534102</v>
      </c>
      <c r="E15" s="16">
        <f>E9+E10+E13+E14</f>
        <v>-74.023670907474</v>
      </c>
      <c r="F15" s="16">
        <f>F9+F10+F13+F14</f>
        <v>-50.432095052404</v>
      </c>
    </row>
    <row r="16" ht="20.05" customHeight="1">
      <c r="B16" t="s" s="10">
        <v>15</v>
      </c>
      <c r="C16" s="15">
        <f>-MIN(0,C15)</f>
        <v>77.86499999999999</v>
      </c>
      <c r="D16" s="16">
        <f>-MIN(C28,D15)</f>
        <v>7.669282534102</v>
      </c>
      <c r="E16" s="16">
        <f>-MIN(D28,E15)</f>
        <v>74.023670907474</v>
      </c>
      <c r="F16" s="16">
        <f>-MIN(E28,F15)</f>
        <v>50.432095052404</v>
      </c>
    </row>
    <row r="17" ht="20.05" customHeight="1">
      <c r="B17" t="s" s="10">
        <v>16</v>
      </c>
      <c r="C17" s="15">
        <f>'Balance sheet'!C26</f>
        <v>2689</v>
      </c>
      <c r="D17" s="16">
        <f>C19</f>
        <v>2689</v>
      </c>
      <c r="E17" s="16">
        <f>D19</f>
        <v>2689</v>
      </c>
      <c r="F17" s="16">
        <f>E19</f>
        <v>2689</v>
      </c>
    </row>
    <row r="18" ht="20.05" customHeight="1">
      <c r="B18" t="s" s="10">
        <v>17</v>
      </c>
      <c r="C18" s="15">
        <f>C9+C10+C12</f>
        <v>0</v>
      </c>
      <c r="D18" s="16">
        <f>D9+D10+D12</f>
        <v>0</v>
      </c>
      <c r="E18" s="16">
        <f>E9+E10+E12</f>
        <v>0</v>
      </c>
      <c r="F18" s="16">
        <f>F9+F10+F12</f>
        <v>0</v>
      </c>
    </row>
    <row r="19" ht="20.05" customHeight="1">
      <c r="B19" t="s" s="10">
        <v>18</v>
      </c>
      <c r="C19" s="15">
        <f>C17+C18</f>
        <v>2689</v>
      </c>
      <c r="D19" s="16">
        <f>D17+D18</f>
        <v>2689</v>
      </c>
      <c r="E19" s="16">
        <f>E17+E18</f>
        <v>2689</v>
      </c>
      <c r="F19" s="16">
        <f>F17+F18</f>
        <v>2689</v>
      </c>
    </row>
    <row r="20" ht="20.05" customHeight="1">
      <c r="B20" t="s" s="17">
        <v>19</v>
      </c>
      <c r="C20" s="15"/>
      <c r="D20" s="16"/>
      <c r="E20" s="16"/>
      <c r="F20" s="18"/>
    </row>
    <row r="21" ht="20.05" customHeight="1">
      <c r="B21" t="s" s="10">
        <v>20</v>
      </c>
      <c r="C21" s="15">
        <f>-AVERAGE('Sales'!E25)</f>
        <v>-71.59999999999999</v>
      </c>
      <c r="D21" s="16">
        <f>C21</f>
        <v>-71.59999999999999</v>
      </c>
      <c r="E21" s="16">
        <f>D21</f>
        <v>-71.59999999999999</v>
      </c>
      <c r="F21" s="16">
        <f>E21</f>
        <v>-71.59999999999999</v>
      </c>
    </row>
    <row r="22" ht="20.05" customHeight="1">
      <c r="B22" t="s" s="10">
        <v>19</v>
      </c>
      <c r="C22" s="15">
        <f>C6+C8+C21</f>
        <v>155.725</v>
      </c>
      <c r="D22" s="16">
        <f>D6+D8+D21</f>
        <v>260.534529109830</v>
      </c>
      <c r="E22" s="16">
        <f>E6+E8+E21</f>
        <v>138.369715154210</v>
      </c>
      <c r="F22" s="16">
        <f>F6+F8+F21</f>
        <v>166.693549912660</v>
      </c>
    </row>
    <row r="23" ht="20.05" customHeight="1">
      <c r="B23" t="s" s="17">
        <v>21</v>
      </c>
      <c r="C23" s="15"/>
      <c r="D23" s="16"/>
      <c r="E23" s="16"/>
      <c r="F23" s="16"/>
    </row>
    <row r="24" ht="20.05" customHeight="1">
      <c r="B24" t="s" s="10">
        <v>22</v>
      </c>
      <c r="C24" s="15">
        <f>'Balance sheet'!E26+'Balance sheet'!F26-C10</f>
        <v>8690.700000000001</v>
      </c>
      <c r="D24" s="16">
        <f>C24-D10</f>
        <v>8787.4</v>
      </c>
      <c r="E24" s="16">
        <f>D24-E10</f>
        <v>8884.1</v>
      </c>
      <c r="F24" s="16">
        <f>E24-F10</f>
        <v>8980.799999999999</v>
      </c>
    </row>
    <row r="25" ht="20.05" customHeight="1">
      <c r="B25" t="s" s="10">
        <v>23</v>
      </c>
      <c r="C25" s="15">
        <f>'Balance sheet'!F26-C21</f>
        <v>1738.6</v>
      </c>
      <c r="D25" s="16">
        <f>C25-D21</f>
        <v>1810.2</v>
      </c>
      <c r="E25" s="16">
        <f>D25-E21</f>
        <v>1881.8</v>
      </c>
      <c r="F25" s="16">
        <f>E25-F21</f>
        <v>1953.4</v>
      </c>
    </row>
    <row r="26" ht="20.05" customHeight="1">
      <c r="B26" t="s" s="10">
        <v>24</v>
      </c>
      <c r="C26" s="15">
        <f>C24-C25</f>
        <v>6952.1</v>
      </c>
      <c r="D26" s="16">
        <f>D24-D25</f>
        <v>6977.2</v>
      </c>
      <c r="E26" s="16">
        <f>E24-E25</f>
        <v>7002.3</v>
      </c>
      <c r="F26" s="16">
        <f>F24-F25</f>
        <v>7027.4</v>
      </c>
    </row>
    <row r="27" ht="20.05" customHeight="1">
      <c r="B27" t="s" s="10">
        <v>12</v>
      </c>
      <c r="C27" s="15">
        <f>'Balance sheet'!I26+C13</f>
        <v>2777.8</v>
      </c>
      <c r="D27" s="16">
        <f>C27+D13</f>
        <v>2638.91</v>
      </c>
      <c r="E27" s="16">
        <f>D27+E13</f>
        <v>2506.9645</v>
      </c>
      <c r="F27" s="16">
        <f>E27+F13</f>
        <v>2381.616275</v>
      </c>
    </row>
    <row r="28" ht="20.05" customHeight="1">
      <c r="B28" t="s" s="10">
        <v>15</v>
      </c>
      <c r="C28" s="15">
        <f>C16</f>
        <v>77.86499999999999</v>
      </c>
      <c r="D28" s="16">
        <f>C28+D16</f>
        <v>85.534282534102</v>
      </c>
      <c r="E28" s="16">
        <f>D28+E16</f>
        <v>159.557953441576</v>
      </c>
      <c r="F28" s="16">
        <f>E28+F16</f>
        <v>209.990048493980</v>
      </c>
    </row>
    <row r="29" ht="20.05" customHeight="1">
      <c r="B29" t="s" s="10">
        <v>13</v>
      </c>
      <c r="C29" s="15">
        <f>'Balance sheet'!J26+C22+C14</f>
        <v>6785.435</v>
      </c>
      <c r="D29" s="16">
        <f>C29+D22+D14</f>
        <v>6941.7557174659</v>
      </c>
      <c r="E29" s="16">
        <f>D29+E22+E14</f>
        <v>7024.777546558430</v>
      </c>
      <c r="F29" s="16">
        <f>E29+F22+F14</f>
        <v>7124.793676506030</v>
      </c>
    </row>
    <row r="30" ht="20.05" customHeight="1">
      <c r="B30" t="s" s="10">
        <v>25</v>
      </c>
      <c r="C30" s="15">
        <f>C27+C28+C29-C19-C26</f>
        <v>0</v>
      </c>
      <c r="D30" s="16">
        <f>D27+D28+D29-D19-D26</f>
        <v>2e-12</v>
      </c>
      <c r="E30" s="16">
        <f>E27+E28+E29-E19-E26</f>
        <v>6e-12</v>
      </c>
      <c r="F30" s="16">
        <f>F27+F28+F29-F19-F26</f>
        <v>9.999999999999999e-12</v>
      </c>
    </row>
    <row r="31" ht="20.05" customHeight="1">
      <c r="B31" t="s" s="10">
        <v>26</v>
      </c>
      <c r="C31" s="15">
        <f>C19-C27-C28</f>
        <v>-166.665</v>
      </c>
      <c r="D31" s="16">
        <f>D19-D27-D28</f>
        <v>-35.444282534102</v>
      </c>
      <c r="E31" s="16">
        <f>E19-E27-E28</f>
        <v>22.477546558424</v>
      </c>
      <c r="F31" s="16">
        <f>F19-F27-F28</f>
        <v>97.393676506020</v>
      </c>
    </row>
    <row r="32" ht="20.05" customHeight="1">
      <c r="B32" t="s" s="17">
        <v>27</v>
      </c>
      <c r="C32" s="15"/>
      <c r="D32" s="16"/>
      <c r="E32" s="16"/>
      <c r="F32" s="16"/>
    </row>
    <row r="33" ht="20.05" customHeight="1">
      <c r="B33" t="s" s="10">
        <v>28</v>
      </c>
      <c r="C33" s="15">
        <f>'Cashflow '!K26-(C12-C11)</f>
        <v>670.825</v>
      </c>
      <c r="D33" s="16">
        <f>C33-(D12-D11)</f>
        <v>888.059529109830</v>
      </c>
      <c r="E33" s="16">
        <f>D33-(E12-E11)</f>
        <v>983.129244264040</v>
      </c>
      <c r="F33" s="16">
        <f>E33-(F12-F11)</f>
        <v>1106.5227941767</v>
      </c>
    </row>
    <row r="34" ht="20.05" customHeight="1">
      <c r="B34" t="s" s="10">
        <v>29</v>
      </c>
      <c r="C34" s="15"/>
      <c r="D34" s="16"/>
      <c r="E34" s="16"/>
      <c r="F34" s="16">
        <v>6637</v>
      </c>
    </row>
    <row r="35" ht="20.05" customHeight="1">
      <c r="B35" t="s" s="10">
        <v>30</v>
      </c>
      <c r="C35" s="15"/>
      <c r="D35" s="16"/>
      <c r="E35" s="16"/>
      <c r="F35" s="19">
        <f>F34/(F19+F26)</f>
        <v>0.683071919641019</v>
      </c>
    </row>
    <row r="36" ht="20.05" customHeight="1">
      <c r="B36" t="s" s="10">
        <v>31</v>
      </c>
      <c r="C36" s="15"/>
      <c r="D36" s="16"/>
      <c r="E36" s="16"/>
      <c r="F36" s="20">
        <f>-(C14+D14+E14+F14)/F34</f>
        <v>0.043472821707199</v>
      </c>
    </row>
    <row r="37" ht="20.05" customHeight="1">
      <c r="B37" t="s" s="10">
        <v>32</v>
      </c>
      <c r="C37" s="15"/>
      <c r="D37" s="16"/>
      <c r="E37" s="16"/>
      <c r="F37" s="16">
        <f>SUM(C9:F11)</f>
        <v>548.1227941767</v>
      </c>
    </row>
    <row r="38" ht="20.05" customHeight="1">
      <c r="B38" t="s" s="10">
        <v>33</v>
      </c>
      <c r="C38" s="15"/>
      <c r="D38" s="16"/>
      <c r="E38" s="16"/>
      <c r="F38" s="16">
        <f>'Balance sheet'!E26/F37</f>
        <v>12.6376791361224</v>
      </c>
    </row>
    <row r="39" ht="20.05" customHeight="1">
      <c r="B39" t="s" s="10">
        <v>27</v>
      </c>
      <c r="C39" s="15"/>
      <c r="D39" s="16"/>
      <c r="E39" s="16"/>
      <c r="F39" s="16">
        <f>F34/F37</f>
        <v>12.1086006101407</v>
      </c>
    </row>
    <row r="40" ht="20.05" customHeight="1">
      <c r="B40" t="s" s="10">
        <v>34</v>
      </c>
      <c r="C40" s="15"/>
      <c r="D40" s="16"/>
      <c r="E40" s="16"/>
      <c r="F40" s="16">
        <v>17</v>
      </c>
    </row>
    <row r="41" ht="20.05" customHeight="1">
      <c r="B41" t="s" s="10">
        <v>35</v>
      </c>
      <c r="C41" s="15"/>
      <c r="D41" s="16"/>
      <c r="E41" s="16"/>
      <c r="F41" s="16">
        <f>F37*F40</f>
        <v>9318.0875010039</v>
      </c>
    </row>
    <row r="42" ht="20.05" customHeight="1">
      <c r="B42" t="s" s="10">
        <v>36</v>
      </c>
      <c r="C42" s="15"/>
      <c r="D42" s="16"/>
      <c r="E42" s="16"/>
      <c r="F42" s="16">
        <f>F34/F44</f>
        <v>4.49966101694915</v>
      </c>
    </row>
    <row r="43" ht="20.05" customHeight="1">
      <c r="B43" t="s" s="10">
        <v>37</v>
      </c>
      <c r="C43" s="15"/>
      <c r="D43" s="16"/>
      <c r="E43" s="16"/>
      <c r="F43" s="16">
        <f>F41/F42</f>
        <v>2070.842106973140</v>
      </c>
    </row>
    <row r="44" ht="20.05" customHeight="1">
      <c r="B44" t="s" s="10">
        <v>38</v>
      </c>
      <c r="C44" s="15"/>
      <c r="D44" s="16"/>
      <c r="E44" s="16"/>
      <c r="F44" s="16">
        <f>'Share price '!C74</f>
        <v>1475</v>
      </c>
    </row>
    <row r="45" ht="20.05" customHeight="1">
      <c r="B45" t="s" s="10">
        <v>39</v>
      </c>
      <c r="C45" s="15"/>
      <c r="D45" s="16"/>
      <c r="E45" s="16"/>
      <c r="F45" s="20">
        <f>F43/F44-1</f>
        <v>0.403960750490264</v>
      </c>
    </row>
    <row r="46" ht="20.05" customHeight="1">
      <c r="B46" t="s" s="10">
        <v>40</v>
      </c>
      <c r="C46" s="15"/>
      <c r="D46" s="16"/>
      <c r="E46" s="16"/>
      <c r="F46" s="20">
        <f>'Sales'!C25/'Sales'!C21-1</f>
        <v>0.0449795381467407</v>
      </c>
    </row>
    <row r="47" ht="20.05" customHeight="1">
      <c r="B47" t="s" s="10">
        <v>41</v>
      </c>
      <c r="C47" s="15"/>
      <c r="D47" s="16"/>
      <c r="E47" s="16"/>
      <c r="F47" s="20">
        <f>('Sales'!D22+'Sales'!D25+'Sales'!D23+'Sales'!D24)/('Sales'!C22+'Sales'!C23+'Sales'!C25+'Sales'!C24)-1</f>
        <v>0.00612254718494359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J29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1" customWidth="1"/>
    <col min="2" max="10" width="10.9688" style="21" customWidth="1"/>
    <col min="11" max="16384" width="16.3516" style="21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  <c r="J1" s="2"/>
    </row>
    <row r="2" ht="32.25" customHeight="1">
      <c r="B2" t="s" s="22">
        <v>1</v>
      </c>
      <c r="C2" t="s" s="22">
        <v>5</v>
      </c>
      <c r="D2" t="s" s="22">
        <v>34</v>
      </c>
      <c r="E2" t="s" s="22">
        <v>42</v>
      </c>
      <c r="F2" t="s" s="22">
        <v>43</v>
      </c>
      <c r="G2" t="s" s="22">
        <v>44</v>
      </c>
      <c r="H2" t="s" s="22">
        <v>6</v>
      </c>
      <c r="I2" t="s" s="22">
        <v>45</v>
      </c>
      <c r="J2" t="s" s="22">
        <v>45</v>
      </c>
    </row>
    <row r="3" ht="20.25" customHeight="1">
      <c r="B3" s="23">
        <v>2016</v>
      </c>
      <c r="C3" s="24">
        <v>2198.7</v>
      </c>
      <c r="D3" s="25"/>
      <c r="E3" s="25">
        <v>45</v>
      </c>
      <c r="F3" s="25">
        <v>209.5</v>
      </c>
      <c r="G3" s="9"/>
      <c r="H3" s="9">
        <f>(E3+F3-C3)/C3</f>
        <v>-0.884249783963251</v>
      </c>
      <c r="I3" s="9"/>
      <c r="J3" s="9"/>
    </row>
    <row r="4" ht="20.05" customHeight="1">
      <c r="B4" s="26"/>
      <c r="C4" s="13">
        <v>2489</v>
      </c>
      <c r="D4" s="14"/>
      <c r="E4" s="14">
        <v>39.3</v>
      </c>
      <c r="F4" s="14">
        <v>137.6</v>
      </c>
      <c r="G4" s="12">
        <f>C4/C3-1</f>
        <v>0.132032564697321</v>
      </c>
      <c r="H4" s="12">
        <f>(E4+F4-C4)/C4</f>
        <v>-0.928927280032141</v>
      </c>
      <c r="I4" s="12"/>
      <c r="J4" s="12"/>
    </row>
    <row r="5" ht="20.05" customHeight="1">
      <c r="B5" s="26"/>
      <c r="C5" s="13">
        <v>2116.5</v>
      </c>
      <c r="D5" s="14"/>
      <c r="E5" s="14">
        <v>50</v>
      </c>
      <c r="F5" s="14">
        <v>120.5</v>
      </c>
      <c r="G5" s="12">
        <f>C5/C4-1</f>
        <v>-0.149658497388509</v>
      </c>
      <c r="H5" s="12">
        <f>(E5+F5-C5)/C5</f>
        <v>-0.919442475785495</v>
      </c>
      <c r="I5" s="12"/>
      <c r="J5" s="12"/>
    </row>
    <row r="6" ht="20.05" customHeight="1">
      <c r="B6" s="26"/>
      <c r="C6" s="13">
        <v>2334</v>
      </c>
      <c r="D6" s="14"/>
      <c r="E6" s="14">
        <v>46.1</v>
      </c>
      <c r="F6" s="14">
        <v>77.90000000000001</v>
      </c>
      <c r="G6" s="12">
        <f>C6/C5-1</f>
        <v>0.102763997165131</v>
      </c>
      <c r="H6" s="12">
        <f>(E6+F6-C6)/C6</f>
        <v>-0.946872322193659</v>
      </c>
      <c r="I6" s="12"/>
      <c r="J6" s="12">
        <f>('Cashflow '!E7-'Cashflow '!C7)/'Cashflow '!C7</f>
        <v>-0.841164588090638</v>
      </c>
    </row>
    <row r="7" ht="20.05" customHeight="1">
      <c r="B7" s="27">
        <v>2017</v>
      </c>
      <c r="C7" s="13">
        <v>2343.1</v>
      </c>
      <c r="D7" s="14"/>
      <c r="E7" s="14">
        <v>46.1</v>
      </c>
      <c r="F7" s="14">
        <v>211.7</v>
      </c>
      <c r="G7" s="12">
        <f>C7/C6-1</f>
        <v>0.00389888603256213</v>
      </c>
      <c r="H7" s="12">
        <f>(E7+F7-C7)/C7</f>
        <v>-0.889974819683326</v>
      </c>
      <c r="I7" s="12">
        <f>AVERAGE(J4:J7)</f>
        <v>-0.914389274430253</v>
      </c>
      <c r="J7" s="12">
        <f>('Cashflow '!E8-'Cashflow '!C8)/'Cashflow '!C8</f>
        <v>-0.987613960769868</v>
      </c>
    </row>
    <row r="8" ht="20.05" customHeight="1">
      <c r="B8" s="26"/>
      <c r="C8" s="13">
        <v>2254.6</v>
      </c>
      <c r="D8" s="14"/>
      <c r="E8" s="14">
        <v>42</v>
      </c>
      <c r="F8" s="14">
        <v>133.4</v>
      </c>
      <c r="G8" s="12">
        <f>C8/C7-1</f>
        <v>-0.0377704750117366</v>
      </c>
      <c r="H8" s="12">
        <f>(E8+F8-C8)/C8</f>
        <v>-0.922203495076732</v>
      </c>
      <c r="I8" s="12">
        <f>AVERAGE(J5:J8)</f>
        <v>-0.912057169752333</v>
      </c>
      <c r="J8" s="12">
        <f>('Cashflow '!E9-'Cashflow '!C9)/'Cashflow '!C9</f>
        <v>-0.907392960396494</v>
      </c>
    </row>
    <row r="9" ht="20.05" customHeight="1">
      <c r="B9" s="26"/>
      <c r="C9" s="13">
        <v>2435.9</v>
      </c>
      <c r="D9" s="14"/>
      <c r="E9" s="14">
        <v>43.2</v>
      </c>
      <c r="F9" s="14">
        <v>105.7</v>
      </c>
      <c r="G9" s="12">
        <f>C9/C8-1</f>
        <v>0.0804133770957154</v>
      </c>
      <c r="H9" s="12">
        <f>(E9+F9-C9)/C9</f>
        <v>-0.938872695923478</v>
      </c>
      <c r="I9" s="12">
        <f>AVERAGE(J6:J9)</f>
        <v>-0.935212780027603</v>
      </c>
      <c r="J9" s="12">
        <f>('Cashflow '!E10-'Cashflow '!C10)/'Cashflow '!C10</f>
        <v>-1.00467961085341</v>
      </c>
    </row>
    <row r="10" ht="20.05" customHeight="1">
      <c r="B10" s="26"/>
      <c r="C10" s="13">
        <v>2531.9</v>
      </c>
      <c r="D10" s="14"/>
      <c r="E10" s="14">
        <v>56.1</v>
      </c>
      <c r="F10" s="14">
        <v>106.5</v>
      </c>
      <c r="G10" s="12">
        <f>C10/C9-1</f>
        <v>0.0394104848310686</v>
      </c>
      <c r="H10" s="12">
        <f>(E10+F10-C10)/C10</f>
        <v>-0.935779454164856</v>
      </c>
      <c r="I10" s="12">
        <f>AVERAGE(J7:J10)</f>
        <v>-0.942185802842716</v>
      </c>
      <c r="J10" s="12">
        <f>('Cashflow '!E11-'Cashflow '!C11)/'Cashflow '!C11</f>
        <v>-0.869056679351092</v>
      </c>
    </row>
    <row r="11" ht="20.05" customHeight="1">
      <c r="B11" s="27">
        <v>2018</v>
      </c>
      <c r="C11" s="13">
        <v>2382.7</v>
      </c>
      <c r="D11" s="14"/>
      <c r="E11" s="14">
        <v>51.8</v>
      </c>
      <c r="F11" s="14">
        <v>214.4</v>
      </c>
      <c r="G11" s="12">
        <f>C11/C10-1</f>
        <v>-0.0589280777281883</v>
      </c>
      <c r="H11" s="12">
        <f>(E11+F11-C11)/C11</f>
        <v>-0.888278003945104</v>
      </c>
      <c r="I11" s="12">
        <f>AVERAGE(J8:J11)</f>
        <v>-0.945512293375674</v>
      </c>
      <c r="J11" s="12">
        <f>('Cashflow '!E12-'Cashflow '!C12)/'Cashflow '!C12</f>
        <v>-1.0009199229017</v>
      </c>
    </row>
    <row r="12" ht="20.05" customHeight="1">
      <c r="B12" s="26"/>
      <c r="C12" s="13">
        <v>2420.8</v>
      </c>
      <c r="D12" s="14"/>
      <c r="E12" s="14">
        <v>53.6</v>
      </c>
      <c r="F12" s="14">
        <v>135.6</v>
      </c>
      <c r="G12" s="12">
        <f>C12/C11-1</f>
        <v>0.0159902631468502</v>
      </c>
      <c r="H12" s="12">
        <f>(E12+F12-C12)/C12</f>
        <v>-0.921844018506279</v>
      </c>
      <c r="I12" s="12">
        <f>AVERAGE(J9:J12)</f>
        <v>-0.949335395961921</v>
      </c>
      <c r="J12" s="12">
        <f>('Cashflow '!E13-'Cashflow '!C13)/'Cashflow '!C13</f>
        <v>-0.922685370741483</v>
      </c>
    </row>
    <row r="13" ht="20.05" customHeight="1">
      <c r="B13" s="26"/>
      <c r="C13" s="13">
        <v>2618.4</v>
      </c>
      <c r="D13" s="14"/>
      <c r="E13" s="14">
        <v>53.5</v>
      </c>
      <c r="F13" s="14">
        <v>85.59999999999999</v>
      </c>
      <c r="G13" s="12">
        <f>C13/C12-1</f>
        <v>0.0816259087904825</v>
      </c>
      <c r="H13" s="12">
        <f>(E13+F13-C13)/C13</f>
        <v>-0.946875954781546</v>
      </c>
      <c r="I13" s="12">
        <f>AVERAGE(J10:J13)</f>
        <v>-0.962260241834114</v>
      </c>
      <c r="J13" s="12">
        <f>('Cashflow '!E14-'Cashflow '!C14)/'Cashflow '!C14</f>
        <v>-1.05637899434218</v>
      </c>
    </row>
    <row r="14" ht="20.05" customHeight="1">
      <c r="B14" s="26"/>
      <c r="C14" s="13">
        <v>2666.2</v>
      </c>
      <c r="D14" s="14"/>
      <c r="E14" s="14">
        <v>48.4</v>
      </c>
      <c r="F14" s="14">
        <v>104.8</v>
      </c>
      <c r="G14" s="12">
        <f>C14/C13-1</f>
        <v>0.0182554231591812</v>
      </c>
      <c r="H14" s="12">
        <f>(E14+F14-C14)/C14</f>
        <v>-0.942539944490286</v>
      </c>
      <c r="I14" s="12">
        <f>AVERAGE(J11:J14)</f>
        <v>-0.963693101991182</v>
      </c>
      <c r="J14" s="12">
        <f>('Cashflow '!E15-'Cashflow '!C15)/'Cashflow '!C15</f>
        <v>-0.874788119979365</v>
      </c>
    </row>
    <row r="15" ht="20.05" customHeight="1">
      <c r="B15" s="27">
        <v>2019</v>
      </c>
      <c r="C15" s="13">
        <v>2704.5</v>
      </c>
      <c r="D15" s="14"/>
      <c r="E15" s="14">
        <v>56</v>
      </c>
      <c r="F15" s="14">
        <v>219.8</v>
      </c>
      <c r="G15" s="12">
        <f>C15/C14-1</f>
        <v>0.0143650138774285</v>
      </c>
      <c r="H15" s="12">
        <f>(E15+F15-C15)/C15</f>
        <v>-0.898021815492697</v>
      </c>
      <c r="I15" s="12">
        <f>AVERAGE(J12:J15)</f>
        <v>-0.958653963868226</v>
      </c>
      <c r="J15" s="12">
        <f>('Cashflow '!E16-'Cashflow '!C16)/'Cashflow '!C16</f>
        <v>-0.980763370409874</v>
      </c>
    </row>
    <row r="16" ht="20.05" customHeight="1">
      <c r="B16" s="26"/>
      <c r="C16" s="13">
        <v>2656</v>
      </c>
      <c r="D16" s="14"/>
      <c r="E16" s="14">
        <v>56.7</v>
      </c>
      <c r="F16" s="14">
        <v>128.4</v>
      </c>
      <c r="G16" s="12">
        <f>C16/C15-1</f>
        <v>-0.0179330745054539</v>
      </c>
      <c r="H16" s="12">
        <f>(E16+F16-C16)/C16</f>
        <v>-0.930308734939759</v>
      </c>
      <c r="I16" s="12">
        <f>AVERAGE(J13:J16)</f>
        <v>-0.963522735120226</v>
      </c>
      <c r="J16" s="12">
        <f>('Cashflow '!E17-'Cashflow '!C17)/'Cashflow '!C17</f>
        <v>-0.942160455749483</v>
      </c>
    </row>
    <row r="17" ht="20.05" customHeight="1">
      <c r="B17" s="26"/>
      <c r="C17" s="13">
        <v>2811.5</v>
      </c>
      <c r="D17" s="14"/>
      <c r="E17" s="14">
        <v>55.8</v>
      </c>
      <c r="F17" s="14">
        <v>93.40000000000001</v>
      </c>
      <c r="G17" s="12">
        <f>C17/C16-1</f>
        <v>0.058546686746988</v>
      </c>
      <c r="H17" s="12">
        <f>(E17+F17-C17)/C17</f>
        <v>-0.946932242575138</v>
      </c>
      <c r="I17" s="12">
        <f>AVERAGE(J14:J17)</f>
        <v>-0.943083224145123</v>
      </c>
      <c r="J17" s="12">
        <f>('Cashflow '!E18-'Cashflow '!C18)/'Cashflow '!C18</f>
        <v>-0.97462095044177</v>
      </c>
    </row>
    <row r="18" ht="20.05" customHeight="1">
      <c r="B18" s="26"/>
      <c r="C18" s="13">
        <v>2821.8</v>
      </c>
      <c r="D18" s="14"/>
      <c r="E18" s="14">
        <v>69.8</v>
      </c>
      <c r="F18" s="14">
        <v>153.6</v>
      </c>
      <c r="G18" s="12">
        <f>C18/C17-1</f>
        <v>0.00366352480882091</v>
      </c>
      <c r="H18" s="12">
        <f>(E18+F18-C18)/C18</f>
        <v>-0.920830675455383</v>
      </c>
      <c r="I18" s="12">
        <f>AVERAGE(J15:J18)</f>
        <v>-0.921330329394473</v>
      </c>
      <c r="J18" s="12">
        <f>('Cashflow '!E19-'Cashflow '!C19)/'Cashflow '!C19</f>
        <v>-0.787776540976764</v>
      </c>
    </row>
    <row r="19" ht="20.05" customHeight="1">
      <c r="B19" s="27">
        <v>2020</v>
      </c>
      <c r="C19" s="13">
        <v>2765.4</v>
      </c>
      <c r="D19" s="14"/>
      <c r="E19" s="14">
        <v>59.7</v>
      </c>
      <c r="F19" s="14">
        <v>307.3</v>
      </c>
      <c r="G19" s="12">
        <f>C19/C18-1</f>
        <v>-0.0199872421858388</v>
      </c>
      <c r="H19" s="12">
        <f>(E19+F19-C19)/C19</f>
        <v>-0.867288638171693</v>
      </c>
      <c r="I19" s="12">
        <f>AVERAGE(J16:J19)</f>
        <v>-0.913367162593924</v>
      </c>
      <c r="J19" s="12">
        <f>('Cashflow '!E20-'Cashflow '!C20)/'Cashflow '!C20</f>
        <v>-0.948910703207678</v>
      </c>
    </row>
    <row r="20" ht="20.05" customHeight="1">
      <c r="B20" s="26"/>
      <c r="C20" s="13">
        <v>2589.4</v>
      </c>
      <c r="D20" s="14"/>
      <c r="E20" s="14">
        <v>84.90000000000001</v>
      </c>
      <c r="F20" s="14">
        <v>94.40000000000001</v>
      </c>
      <c r="G20" s="12">
        <f>C20/C19-1</f>
        <v>-0.0636435958631663</v>
      </c>
      <c r="H20" s="12">
        <f>(E20+F20-C20)/C20</f>
        <v>-0.930756159728122</v>
      </c>
      <c r="I20" s="12">
        <f>AVERAGE(J17:J20)</f>
        <v>-0.908980607218174</v>
      </c>
      <c r="J20" s="12">
        <f>('Cashflow '!E21-'Cashflow '!C21)/'Cashflow '!C21</f>
        <v>-0.924614234246482</v>
      </c>
    </row>
    <row r="21" ht="20.05" customHeight="1">
      <c r="B21" s="26"/>
      <c r="C21" s="13">
        <v>2736.8</v>
      </c>
      <c r="D21" s="18"/>
      <c r="E21" s="14">
        <v>68.09999999999999</v>
      </c>
      <c r="F21" s="14">
        <v>132.9</v>
      </c>
      <c r="G21" s="12">
        <f>C21/C20-1</f>
        <v>0.0569243840271878</v>
      </c>
      <c r="H21" s="12">
        <f>(E21+F21-C21)/C21</f>
        <v>-0.926556562408652</v>
      </c>
      <c r="I21" s="12">
        <f>AVERAGE(J18:J21)</f>
        <v>-0.8967714839118039</v>
      </c>
      <c r="J21" s="12">
        <f>('Cashflow '!E22-'Cashflow '!C22)/'Cashflow '!C22</f>
        <v>-0.925784457216292</v>
      </c>
    </row>
    <row r="22" ht="20.05" customHeight="1">
      <c r="B22" s="26"/>
      <c r="C22" s="13">
        <f>10968.4-SUM(C19:C21)</f>
        <v>2876.8</v>
      </c>
      <c r="D22" s="14">
        <v>2818.904</v>
      </c>
      <c r="E22" s="14">
        <f>268.4-SUM(E19:E21)</f>
        <v>55.7</v>
      </c>
      <c r="F22" s="14">
        <f>834.36-SUM(F19:F21)</f>
        <v>299.76</v>
      </c>
      <c r="G22" s="12">
        <f>C22/C21-1</f>
        <v>0.0511546331482023</v>
      </c>
      <c r="H22" s="12">
        <f>(E22+F22-C22)/C22</f>
        <v>-0.8764390989988881</v>
      </c>
      <c r="I22" s="12">
        <f>AVERAGE(J19:J22)</f>
        <v>-0.919652138239743</v>
      </c>
      <c r="J22" s="12">
        <f>('Cashflow '!E23-'Cashflow '!C23)/'Cashflow '!C23</f>
        <v>-0.87929915828852</v>
      </c>
    </row>
    <row r="23" ht="20.05" customHeight="1">
      <c r="B23" s="27">
        <v>2021</v>
      </c>
      <c r="C23" s="13">
        <v>2743.6</v>
      </c>
      <c r="D23" s="14">
        <v>2876.8</v>
      </c>
      <c r="E23" s="14">
        <v>69.90000000000001</v>
      </c>
      <c r="F23" s="14">
        <v>312</v>
      </c>
      <c r="G23" s="12">
        <f>C23/C22-1</f>
        <v>-0.046301446051168</v>
      </c>
      <c r="H23" s="12">
        <f>(E23+F23-C23)/C23</f>
        <v>-0.860803324099723</v>
      </c>
      <c r="I23" s="12">
        <f>AVERAGE(J20:J23)</f>
        <v>-0.917600517602886</v>
      </c>
      <c r="J23" s="12">
        <f>('Cashflow '!E24-'Cashflow '!C24)/'Cashflow '!C24</f>
        <v>-0.9407042206602489</v>
      </c>
    </row>
    <row r="24" ht="20.05" customHeight="1">
      <c r="B24" s="26"/>
      <c r="C24" s="13">
        <f>5485.1-C23</f>
        <v>2741.5</v>
      </c>
      <c r="D24" s="14">
        <v>2798.472</v>
      </c>
      <c r="E24" s="14">
        <f>140.2-E23</f>
        <v>70.3</v>
      </c>
      <c r="F24" s="14">
        <f>443.6-F23</f>
        <v>131.6</v>
      </c>
      <c r="G24" s="12">
        <f>C24/C23-1</f>
        <v>-0.000765417699373086</v>
      </c>
      <c r="H24" s="12">
        <f>(E24+F24-C24)/C24</f>
        <v>-0.926354185664782</v>
      </c>
      <c r="I24" s="12">
        <f>AVERAGE(J21:J24)</f>
        <v>-0.940071314711368</v>
      </c>
      <c r="J24" s="12">
        <f>('Cashflow '!E25-'Cashflow '!C25)/'Cashflow '!C25</f>
        <v>-1.01449742268041</v>
      </c>
    </row>
    <row r="25" ht="20.05" customHeight="1">
      <c r="B25" s="26"/>
      <c r="C25" s="13">
        <f>8345-SUM(C23:C24)</f>
        <v>2859.9</v>
      </c>
      <c r="D25" s="14">
        <v>2796.33</v>
      </c>
      <c r="E25" s="14">
        <f>211.8-SUM(E23:E24)</f>
        <v>71.59999999999999</v>
      </c>
      <c r="F25" s="14">
        <f>588.5-SUM(F23:F24)</f>
        <v>144.9</v>
      </c>
      <c r="G25" s="12">
        <f>C25/C24-1</f>
        <v>0.0431880357468539</v>
      </c>
      <c r="H25" s="12">
        <f>(E25+F25-C25)/C25</f>
        <v>-0.9242980523794539</v>
      </c>
      <c r="I25" s="12">
        <f>AVERAGE(J22:J25)</f>
        <v>-0.934630519127579</v>
      </c>
      <c r="J25" s="12">
        <f>('Cashflow '!E26-'Cashflow '!C26)/'Cashflow '!C26</f>
        <v>-0.904021274881135</v>
      </c>
    </row>
    <row r="26" ht="20.05" customHeight="1">
      <c r="B26" s="26"/>
      <c r="C26" s="13"/>
      <c r="D26" s="14">
        <f>'Model'!C6</f>
        <v>3002.895</v>
      </c>
      <c r="E26" s="14"/>
      <c r="F26" s="14"/>
      <c r="G26" s="12"/>
      <c r="H26" s="12">
        <f>'Model'!C7</f>
        <v>-0.9242980523794539</v>
      </c>
      <c r="I26" s="12"/>
      <c r="J26" s="12"/>
    </row>
    <row r="27" ht="20.05" customHeight="1">
      <c r="B27" s="27">
        <v>2020</v>
      </c>
      <c r="C27" s="13"/>
      <c r="D27" s="14">
        <f>'Model'!D6</f>
        <v>2972.86605</v>
      </c>
      <c r="E27" s="14"/>
      <c r="F27" s="14"/>
      <c r="G27" s="12"/>
      <c r="H27" s="12"/>
      <c r="I27" s="12"/>
      <c r="J27" s="12"/>
    </row>
    <row r="28" ht="20.05" customHeight="1">
      <c r="B28" s="26"/>
      <c r="C28" s="13"/>
      <c r="D28" s="14">
        <f>'Model'!E6</f>
        <v>3032.323371</v>
      </c>
      <c r="E28" s="14"/>
      <c r="F28" s="14"/>
      <c r="G28" s="12"/>
      <c r="H28" s="12"/>
      <c r="I28" s="12"/>
      <c r="J28" s="12"/>
    </row>
    <row r="29" ht="20.05" customHeight="1">
      <c r="B29" s="26"/>
      <c r="C29" s="13"/>
      <c r="D29" s="14">
        <f>'Model'!F6</f>
        <v>3244.58600697</v>
      </c>
      <c r="E29" s="14"/>
      <c r="F29" s="14"/>
      <c r="G29" s="12"/>
      <c r="H29" s="12"/>
      <c r="I29" s="12"/>
      <c r="J29" s="12"/>
    </row>
  </sheetData>
  <mergeCells count="1">
    <mergeCell ref="B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K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28" customWidth="1"/>
    <col min="2" max="2" width="9.5625" style="28" customWidth="1"/>
    <col min="3" max="11" width="10.3672" style="28" customWidth="1"/>
    <col min="12" max="16384" width="16.3516" style="28" customWidth="1"/>
  </cols>
  <sheetData>
    <row r="1" ht="13.85" customHeight="1"/>
    <row r="2" ht="27.65" customHeight="1">
      <c r="B2" t="s" s="2">
        <v>32</v>
      </c>
      <c r="C2" s="2"/>
      <c r="D2" s="2"/>
      <c r="E2" s="2"/>
      <c r="F2" s="2"/>
      <c r="G2" s="2"/>
      <c r="H2" s="2"/>
      <c r="I2" s="2"/>
      <c r="J2" s="2"/>
      <c r="K2" s="2"/>
    </row>
    <row r="3" ht="46.75" customHeight="1">
      <c r="B3" t="s" s="22">
        <v>1</v>
      </c>
      <c r="C3" t="s" s="22">
        <v>46</v>
      </c>
      <c r="D3" t="s" s="22">
        <v>10</v>
      </c>
      <c r="E3" t="s" s="22">
        <v>8</v>
      </c>
      <c r="F3" t="s" s="22">
        <v>47</v>
      </c>
      <c r="G3" t="s" s="22">
        <v>9</v>
      </c>
      <c r="H3" t="s" s="22">
        <v>11</v>
      </c>
      <c r="I3" t="s" s="22">
        <v>48</v>
      </c>
      <c r="J3" t="s" s="22">
        <v>32</v>
      </c>
      <c r="K3" t="s" s="22">
        <v>49</v>
      </c>
    </row>
    <row r="4" ht="21.4" customHeight="1">
      <c r="B4" s="23">
        <v>2016</v>
      </c>
      <c r="C4" s="29">
        <v>2147.5</v>
      </c>
      <c r="D4" s="30">
        <v>-0.1</v>
      </c>
      <c r="E4" s="30">
        <v>-17.1</v>
      </c>
      <c r="F4" s="30"/>
      <c r="G4" s="30">
        <v>-44.8</v>
      </c>
      <c r="H4" s="30">
        <v>-36.1</v>
      </c>
      <c r="I4" s="31">
        <f>E4+G4+D4</f>
        <v>-62</v>
      </c>
      <c r="J4" s="31"/>
      <c r="K4" s="30">
        <f>-(H4-D4)</f>
        <v>36</v>
      </c>
    </row>
    <row r="5" ht="21.2" customHeight="1">
      <c r="B5" s="26"/>
      <c r="C5" s="15">
        <v>2296</v>
      </c>
      <c r="D5" s="16">
        <v>-0.1</v>
      </c>
      <c r="E5" s="16">
        <v>56.2</v>
      </c>
      <c r="F5" s="16"/>
      <c r="G5" s="16">
        <v>-68.40000000000001</v>
      </c>
      <c r="H5" s="16">
        <v>6</v>
      </c>
      <c r="I5" s="32">
        <f>E5+G5+D5</f>
        <v>-12.3</v>
      </c>
      <c r="J5" s="32"/>
      <c r="K5" s="16">
        <f>-(H5-D5)+K4</f>
        <v>29.9</v>
      </c>
    </row>
    <row r="6" ht="21.2" customHeight="1">
      <c r="B6" s="26"/>
      <c r="C6" s="15">
        <v>2282.6</v>
      </c>
      <c r="D6" s="16">
        <v>-0.1</v>
      </c>
      <c r="E6" s="16">
        <v>90.90000000000001</v>
      </c>
      <c r="F6" s="16"/>
      <c r="G6" s="16">
        <v>-51</v>
      </c>
      <c r="H6" s="16">
        <v>-169.3</v>
      </c>
      <c r="I6" s="32">
        <f>E6+G6+D6</f>
        <v>39.8</v>
      </c>
      <c r="J6" s="32"/>
      <c r="K6" s="16">
        <f>-(H6-D6)+K5</f>
        <v>199.1</v>
      </c>
    </row>
    <row r="7" ht="21.2" customHeight="1">
      <c r="B7" s="26"/>
      <c r="C7" s="15">
        <v>2277.2</v>
      </c>
      <c r="D7" s="16">
        <v>-4.7</v>
      </c>
      <c r="E7" s="16">
        <v>361.7</v>
      </c>
      <c r="F7" s="16"/>
      <c r="G7" s="16">
        <v>-222.8</v>
      </c>
      <c r="H7" s="16">
        <v>66.90000000000001</v>
      </c>
      <c r="I7" s="32">
        <f>E7+G7+D7</f>
        <v>134.2</v>
      </c>
      <c r="J7" s="32"/>
      <c r="K7" s="16">
        <f>-(H7-D7)+K6</f>
        <v>127.5</v>
      </c>
    </row>
    <row r="8" ht="21.2" customHeight="1">
      <c r="B8" s="27">
        <v>2017</v>
      </c>
      <c r="C8" s="15">
        <v>2171.8</v>
      </c>
      <c r="D8" s="16">
        <v>-0.2</v>
      </c>
      <c r="E8" s="16">
        <v>26.9</v>
      </c>
      <c r="F8" s="16">
        <v>-98.09999999999999</v>
      </c>
      <c r="G8" s="16">
        <v>-69.8</v>
      </c>
      <c r="H8" s="16">
        <v>112.2</v>
      </c>
      <c r="I8" s="32">
        <f>E8+G8+D8</f>
        <v>-43.1</v>
      </c>
      <c r="J8" s="32">
        <f>AVERAGE(I5:I8)</f>
        <v>29.65</v>
      </c>
      <c r="K8" s="16">
        <f>-(H8-D8)+K7</f>
        <v>15.1</v>
      </c>
    </row>
    <row r="9" ht="21.2" customHeight="1">
      <c r="B9" s="26"/>
      <c r="C9" s="15">
        <v>2179.1</v>
      </c>
      <c r="D9" s="16">
        <v>-0.3</v>
      </c>
      <c r="E9" s="16">
        <v>201.8</v>
      </c>
      <c r="F9" s="16">
        <v>-91.09999999999999</v>
      </c>
      <c r="G9" s="16">
        <v>-107.9</v>
      </c>
      <c r="H9" s="16">
        <v>17.9</v>
      </c>
      <c r="I9" s="32">
        <f>E9+G9+D9</f>
        <v>93.59999999999999</v>
      </c>
      <c r="J9" s="32">
        <f>AVERAGE(I6:I9)</f>
        <v>56.125</v>
      </c>
      <c r="K9" s="16">
        <f>-(H9-D9)+K8</f>
        <v>-3.1</v>
      </c>
    </row>
    <row r="10" ht="21.2" customHeight="1">
      <c r="B10" s="26"/>
      <c r="C10" s="15">
        <v>2436.1</v>
      </c>
      <c r="D10" s="16">
        <v>-0.1</v>
      </c>
      <c r="E10" s="16">
        <v>-11.4</v>
      </c>
      <c r="F10" s="16">
        <v>-77.90000000000001</v>
      </c>
      <c r="G10" s="16">
        <v>-25.6</v>
      </c>
      <c r="H10" s="16">
        <v>-166.9</v>
      </c>
      <c r="I10" s="32">
        <f>E10+G10+D10</f>
        <v>-37.1</v>
      </c>
      <c r="J10" s="32">
        <f>AVERAGE(I7:I10)</f>
        <v>36.9</v>
      </c>
      <c r="K10" s="16">
        <f>-(H10-D10)+K9</f>
        <v>163.7</v>
      </c>
    </row>
    <row r="11" ht="21.2" customHeight="1">
      <c r="B11" s="26"/>
      <c r="C11" s="15">
        <v>2496.5</v>
      </c>
      <c r="D11" s="16">
        <v>-7.5</v>
      </c>
      <c r="E11" s="16">
        <v>326.9</v>
      </c>
      <c r="F11" s="16">
        <v>-143.4</v>
      </c>
      <c r="G11" s="16">
        <v>-73.3</v>
      </c>
      <c r="H11" s="16">
        <v>25.2</v>
      </c>
      <c r="I11" s="32">
        <f>E11+G11+D11</f>
        <v>246.1</v>
      </c>
      <c r="J11" s="32">
        <f>AVERAGE(I8:I11)</f>
        <v>64.875</v>
      </c>
      <c r="K11" s="16">
        <f>-(H11-D11)+K10</f>
        <v>131</v>
      </c>
    </row>
    <row r="12" ht="21.2" customHeight="1">
      <c r="B12" s="27">
        <v>2018</v>
      </c>
      <c r="C12" s="15">
        <v>2282.8</v>
      </c>
      <c r="D12" s="16">
        <v>-0.7</v>
      </c>
      <c r="E12" s="16">
        <v>-2.1</v>
      </c>
      <c r="F12" s="16">
        <v>-107</v>
      </c>
      <c r="G12" s="16">
        <v>-112.7</v>
      </c>
      <c r="H12" s="16">
        <v>-29.7</v>
      </c>
      <c r="I12" s="32">
        <f>E12+G12+D12</f>
        <v>-115.5</v>
      </c>
      <c r="J12" s="32">
        <f>AVERAGE(I9:I12)</f>
        <v>46.775</v>
      </c>
      <c r="K12" s="16">
        <f>-(H12-D12)+K11</f>
        <v>160</v>
      </c>
    </row>
    <row r="13" ht="21.2" customHeight="1">
      <c r="B13" s="26"/>
      <c r="C13" s="15">
        <v>2495</v>
      </c>
      <c r="D13" s="16">
        <v>-4.9</v>
      </c>
      <c r="E13" s="16">
        <v>192.9</v>
      </c>
      <c r="F13" s="16">
        <v>-220.7</v>
      </c>
      <c r="G13" s="16">
        <v>-85.5</v>
      </c>
      <c r="H13" s="16">
        <v>109.5</v>
      </c>
      <c r="I13" s="32">
        <f>E13+G13+D13</f>
        <v>102.5</v>
      </c>
      <c r="J13" s="32">
        <f>AVERAGE(I10:I13)</f>
        <v>49</v>
      </c>
      <c r="K13" s="16">
        <f>-(H13-D13)+K12</f>
        <v>45.6</v>
      </c>
    </row>
    <row r="14" ht="21.2" customHeight="1">
      <c r="B14" s="26"/>
      <c r="C14" s="15">
        <v>2509.8</v>
      </c>
      <c r="D14" s="16">
        <v>-2.1</v>
      </c>
      <c r="E14" s="16">
        <v>-141.5</v>
      </c>
      <c r="F14" s="16">
        <v>-44.9</v>
      </c>
      <c r="G14" s="16">
        <v>-124.1</v>
      </c>
      <c r="H14" s="16">
        <v>-128.6</v>
      </c>
      <c r="I14" s="32">
        <f>E14+G14+D14</f>
        <v>-267.7</v>
      </c>
      <c r="J14" s="32">
        <f>AVERAGE(I11:I14)</f>
        <v>-8.65</v>
      </c>
      <c r="K14" s="16">
        <f>-(H14-D14)+K13</f>
        <v>172.1</v>
      </c>
    </row>
    <row r="15" ht="21.2" customHeight="1">
      <c r="B15" s="26"/>
      <c r="C15" s="15">
        <v>2713.8</v>
      </c>
      <c r="D15" s="16">
        <v>-10.3</v>
      </c>
      <c r="E15" s="16">
        <v>339.8</v>
      </c>
      <c r="F15" s="16">
        <v>-232.1</v>
      </c>
      <c r="G15" s="16">
        <v>-113</v>
      </c>
      <c r="H15" s="16">
        <v>-11</v>
      </c>
      <c r="I15" s="32">
        <f>E15+G15+D15</f>
        <v>216.5</v>
      </c>
      <c r="J15" s="32">
        <f>AVERAGE(I12:I15)</f>
        <v>-16.05</v>
      </c>
      <c r="K15" s="16">
        <f>-(H15-D15)+K14</f>
        <v>172.8</v>
      </c>
    </row>
    <row r="16" ht="21.2" customHeight="1">
      <c r="B16" s="27">
        <v>2019</v>
      </c>
      <c r="C16" s="15">
        <v>2625.2</v>
      </c>
      <c r="D16" s="16">
        <v>-2.2</v>
      </c>
      <c r="E16" s="16">
        <v>50.5</v>
      </c>
      <c r="F16" s="16">
        <v>-99</v>
      </c>
      <c r="G16" s="16">
        <v>-61.7</v>
      </c>
      <c r="H16" s="16">
        <v>57.3</v>
      </c>
      <c r="I16" s="32">
        <f>E16+G16+D16</f>
        <v>-13.4</v>
      </c>
      <c r="J16" s="32">
        <f>AVERAGE(I13:I16)</f>
        <v>9.475</v>
      </c>
      <c r="K16" s="16">
        <f>-(H16-D16)+K15</f>
        <v>113.3</v>
      </c>
    </row>
    <row r="17" ht="21.2" customHeight="1">
      <c r="B17" s="26"/>
      <c r="C17" s="15">
        <v>2755.9</v>
      </c>
      <c r="D17" s="16">
        <v>-3</v>
      </c>
      <c r="E17" s="16">
        <v>159.4</v>
      </c>
      <c r="F17" s="16">
        <v>-106.9</v>
      </c>
      <c r="G17" s="16">
        <v>-93.2</v>
      </c>
      <c r="H17" s="16">
        <v>-76.5</v>
      </c>
      <c r="I17" s="32">
        <f>E17+G17+D17</f>
        <v>63.2</v>
      </c>
      <c r="J17" s="32">
        <f>AVERAGE(I14:I17)</f>
        <v>-0.35</v>
      </c>
      <c r="K17" s="16">
        <f>-(H17-D17)+K16</f>
        <v>186.8</v>
      </c>
    </row>
    <row r="18" ht="21.2" customHeight="1">
      <c r="B18" s="26"/>
      <c r="C18" s="15">
        <v>2750.3</v>
      </c>
      <c r="D18" s="16">
        <v>-3.1</v>
      </c>
      <c r="E18" s="16">
        <v>69.8</v>
      </c>
      <c r="F18" s="16">
        <v>-109.6</v>
      </c>
      <c r="G18" s="16">
        <v>-79.5</v>
      </c>
      <c r="H18" s="16">
        <v>-28</v>
      </c>
      <c r="I18" s="32">
        <f>E18+G18+D18</f>
        <v>-12.8</v>
      </c>
      <c r="J18" s="32">
        <f>AVERAGE(I15:I18)</f>
        <v>63.375</v>
      </c>
      <c r="K18" s="16">
        <f>-(H18-D18)+K17</f>
        <v>211.7</v>
      </c>
    </row>
    <row r="19" ht="21.2" customHeight="1">
      <c r="B19" s="26"/>
      <c r="C19" s="15">
        <v>2874.8</v>
      </c>
      <c r="D19" s="16">
        <v>-26.2</v>
      </c>
      <c r="E19" s="16">
        <v>610.1</v>
      </c>
      <c r="F19" s="16">
        <v>-143.9</v>
      </c>
      <c r="G19" s="16">
        <v>-131</v>
      </c>
      <c r="H19" s="16">
        <v>-103</v>
      </c>
      <c r="I19" s="32">
        <f>E19+G19+D19</f>
        <v>452.9</v>
      </c>
      <c r="J19" s="32">
        <f>AVERAGE(I16:I19)</f>
        <v>122.475</v>
      </c>
      <c r="K19" s="16">
        <f>-(H19-D19)+K18</f>
        <v>288.5</v>
      </c>
    </row>
    <row r="20" ht="21.2" customHeight="1">
      <c r="B20" s="27">
        <v>2020</v>
      </c>
      <c r="C20" s="15">
        <v>2740.3</v>
      </c>
      <c r="D20" s="16">
        <v>-14.5</v>
      </c>
      <c r="E20" s="16">
        <v>140</v>
      </c>
      <c r="F20" s="16">
        <v>-85.7</v>
      </c>
      <c r="G20" s="16">
        <v>-105.5</v>
      </c>
      <c r="H20" s="16">
        <v>-31.7</v>
      </c>
      <c r="I20" s="32">
        <f>E20+G20+D20</f>
        <v>20</v>
      </c>
      <c r="J20" s="32">
        <f>AVERAGE(I17:I20)</f>
        <v>130.825</v>
      </c>
      <c r="K20" s="16">
        <f>-(H20-D20)+K19</f>
        <v>305.7</v>
      </c>
    </row>
    <row r="21" ht="21.2" customHeight="1">
      <c r="B21" s="26"/>
      <c r="C21" s="15">
        <v>2942.2</v>
      </c>
      <c r="D21" s="16">
        <v>-5.6</v>
      </c>
      <c r="E21" s="16">
        <v>221.8</v>
      </c>
      <c r="F21" s="16">
        <v>-81.09999999999999</v>
      </c>
      <c r="G21" s="16">
        <v>-100.3</v>
      </c>
      <c r="H21" s="16">
        <v>31</v>
      </c>
      <c r="I21" s="32">
        <f>E21+G21+D21</f>
        <v>115.9</v>
      </c>
      <c r="J21" s="32">
        <f>AVERAGE(I18:I21)</f>
        <v>144</v>
      </c>
      <c r="K21" s="16">
        <f>-(H21-D21)+K20</f>
        <v>269.1</v>
      </c>
    </row>
    <row r="22" ht="21.2" customHeight="1">
      <c r="B22" s="26"/>
      <c r="C22" s="15">
        <v>2801.3</v>
      </c>
      <c r="D22" s="16">
        <v>-16.7</v>
      </c>
      <c r="E22" s="16">
        <v>207.9</v>
      </c>
      <c r="F22" s="16">
        <v>-128.3</v>
      </c>
      <c r="G22" s="16">
        <v>-86.09999999999999</v>
      </c>
      <c r="H22" s="16">
        <v>-233.1</v>
      </c>
      <c r="I22" s="32">
        <f>E22+G22+D22</f>
        <v>105.1</v>
      </c>
      <c r="J22" s="32">
        <f>AVERAGE(I19:I22)</f>
        <v>173.475</v>
      </c>
      <c r="K22" s="16">
        <f>-(H22-D22)+K21</f>
        <v>485.5</v>
      </c>
    </row>
    <row r="23" ht="21.2" customHeight="1">
      <c r="B23" s="26"/>
      <c r="C23" s="15">
        <f>11905.4-SUM(C20:C22)</f>
        <v>3421.6</v>
      </c>
      <c r="D23" s="16">
        <f>-65.9-SUM(D20:D22)</f>
        <v>-29.1</v>
      </c>
      <c r="E23" s="16">
        <f>982.69-SUM(E20:E22)</f>
        <v>412.99</v>
      </c>
      <c r="F23" s="16">
        <v>-193.6</v>
      </c>
      <c r="G23" s="16">
        <f>-388.56-SUM(G20:G22)</f>
        <v>-96.66</v>
      </c>
      <c r="H23" s="32">
        <f>-212-SUM(H20:H22)</f>
        <v>21.8</v>
      </c>
      <c r="I23" s="32">
        <f>E23+G23+D23</f>
        <v>287.23</v>
      </c>
      <c r="J23" s="32">
        <f>AVERAGE(I20:I23)</f>
        <v>132.0575</v>
      </c>
      <c r="K23" s="16">
        <f>-(H23-D23)+K22</f>
        <v>434.6</v>
      </c>
    </row>
    <row r="24" ht="21.2" customHeight="1">
      <c r="B24" s="27">
        <v>2021</v>
      </c>
      <c r="C24" s="15">
        <v>3001.9</v>
      </c>
      <c r="D24" s="16">
        <v>-17</v>
      </c>
      <c r="E24" s="16">
        <v>178</v>
      </c>
      <c r="F24" s="16">
        <v>-137.8</v>
      </c>
      <c r="G24" s="16">
        <v>-149.2</v>
      </c>
      <c r="H24" s="32">
        <v>-25.7</v>
      </c>
      <c r="I24" s="32">
        <f>E24+G24+D24</f>
        <v>11.8</v>
      </c>
      <c r="J24" s="32">
        <f>AVERAGE(I21:I24)</f>
        <v>130.0075</v>
      </c>
      <c r="K24" s="16">
        <f>-(H24-D24)+K23</f>
        <v>443.3</v>
      </c>
    </row>
    <row r="25" ht="21.2" customHeight="1">
      <c r="B25" s="26"/>
      <c r="C25" s="15">
        <f>5485.1-C24</f>
        <v>2483.2</v>
      </c>
      <c r="D25" s="16">
        <f>-24.2-D24</f>
        <v>-7.2</v>
      </c>
      <c r="E25" s="16">
        <f>142-E24</f>
        <v>-36</v>
      </c>
      <c r="F25" s="16">
        <v>-84</v>
      </c>
      <c r="G25" s="16">
        <f>-245.9-G24</f>
        <v>-96.7</v>
      </c>
      <c r="H25" s="32">
        <f>156.9-H24</f>
        <v>182.6</v>
      </c>
      <c r="I25" s="32">
        <f>E25+G25+D25</f>
        <v>-139.9</v>
      </c>
      <c r="J25" s="32">
        <f>AVERAGE(I22:I25)</f>
        <v>66.0575</v>
      </c>
      <c r="K25" s="16">
        <f>-(H25-D25)+K24</f>
        <v>253.5</v>
      </c>
    </row>
    <row r="26" ht="21.2" customHeight="1">
      <c r="B26" s="26"/>
      <c r="C26" s="15">
        <f>9207.8-SUM(C24:C25)</f>
        <v>3722.7</v>
      </c>
      <c r="D26" s="16">
        <f>-42.4-SUM(D24:D25)</f>
        <v>-18.2</v>
      </c>
      <c r="E26" s="16">
        <f>499.3-SUM(E24:E25)</f>
        <v>357.3</v>
      </c>
      <c r="F26" s="16">
        <f>-348.9-SUM(F24:F25)</f>
        <v>-127.1</v>
      </c>
      <c r="G26" s="16">
        <f>-300.8-SUM(G24:G25)</f>
        <v>-54.9</v>
      </c>
      <c r="H26" s="32">
        <f>-166.2-SUM(H24:H25)</f>
        <v>-323.1</v>
      </c>
      <c r="I26" s="32">
        <f>E26+G26+D26</f>
        <v>284.2</v>
      </c>
      <c r="J26" s="32">
        <f>AVERAGE(I23:I26)</f>
        <v>110.8325</v>
      </c>
      <c r="K26" s="16">
        <f>-(H26-D26)+K25</f>
        <v>558.4</v>
      </c>
    </row>
    <row r="27" ht="21.2" customHeight="1">
      <c r="B27" s="26"/>
      <c r="C27" s="15"/>
      <c r="D27" s="16"/>
      <c r="E27" s="16"/>
      <c r="F27" s="16"/>
      <c r="G27" s="16"/>
      <c r="H27" s="32"/>
      <c r="I27" s="32"/>
      <c r="J27" s="32">
        <f>SUM('Model'!F9:F11)</f>
        <v>123.393549912660</v>
      </c>
      <c r="K27" s="16">
        <f>'Model'!F33</f>
        <v>1106.5227941767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3" customWidth="1"/>
    <col min="2" max="13" width="9.21875" style="33" customWidth="1"/>
    <col min="14" max="16384" width="16.3516" style="33" customWidth="1"/>
  </cols>
  <sheetData>
    <row r="1" ht="7.55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.25" customHeight="1">
      <c r="B3" t="s" s="22">
        <v>1</v>
      </c>
      <c r="C3" t="s" s="22">
        <v>50</v>
      </c>
      <c r="D3" t="s" s="22">
        <v>51</v>
      </c>
      <c r="E3" t="s" s="22">
        <v>22</v>
      </c>
      <c r="F3" t="s" s="22">
        <v>23</v>
      </c>
      <c r="G3" t="s" s="22">
        <v>52</v>
      </c>
      <c r="H3" t="s" s="22">
        <v>53</v>
      </c>
      <c r="I3" t="s" s="22">
        <v>12</v>
      </c>
      <c r="J3" t="s" s="22">
        <v>13</v>
      </c>
      <c r="K3" t="s" s="22">
        <v>54</v>
      </c>
      <c r="L3" t="s" s="22">
        <v>26</v>
      </c>
      <c r="M3" t="s" s="22">
        <v>34</v>
      </c>
    </row>
    <row r="4" ht="20.25" customHeight="1">
      <c r="B4" s="23">
        <v>2016</v>
      </c>
      <c r="C4" s="29">
        <v>1614</v>
      </c>
      <c r="D4" s="30">
        <v>6569</v>
      </c>
      <c r="E4" s="30">
        <f>D4-C4</f>
        <v>4955</v>
      </c>
      <c r="F4" s="30">
        <v>940</v>
      </c>
      <c r="G4" s="30">
        <v>4</v>
      </c>
      <c r="H4" s="30">
        <v>0</v>
      </c>
      <c r="I4" s="30">
        <v>2027</v>
      </c>
      <c r="J4" s="30">
        <v>4542</v>
      </c>
      <c r="K4" s="30">
        <f>I4+J4-C4-E4</f>
        <v>0</v>
      </c>
      <c r="L4" s="30">
        <f>C4-I4</f>
        <v>-413</v>
      </c>
      <c r="M4" s="30"/>
    </row>
    <row r="5" ht="20.05" customHeight="1">
      <c r="B5" s="26"/>
      <c r="C5" s="15">
        <v>1600</v>
      </c>
      <c r="D5" s="16">
        <v>6690</v>
      </c>
      <c r="E5" s="16">
        <f>D5-C5</f>
        <v>5090</v>
      </c>
      <c r="F5" s="16">
        <v>957</v>
      </c>
      <c r="G5" s="16">
        <v>4</v>
      </c>
      <c r="H5" s="16">
        <v>0</v>
      </c>
      <c r="I5" s="16">
        <v>2236</v>
      </c>
      <c r="J5" s="16">
        <v>4454</v>
      </c>
      <c r="K5" s="16">
        <f>I5+J5-C5-E5</f>
        <v>0</v>
      </c>
      <c r="L5" s="16">
        <f>C5-I5</f>
        <v>-636</v>
      </c>
      <c r="M5" s="16"/>
    </row>
    <row r="6" ht="20.05" customHeight="1">
      <c r="B6" s="26"/>
      <c r="C6" s="15">
        <v>1467</v>
      </c>
      <c r="D6" s="16">
        <v>6538</v>
      </c>
      <c r="E6" s="16">
        <f>D6-C6</f>
        <v>5071</v>
      </c>
      <c r="F6" s="16">
        <v>991</v>
      </c>
      <c r="G6" s="16">
        <v>4</v>
      </c>
      <c r="H6" s="16">
        <v>0</v>
      </c>
      <c r="I6" s="16">
        <v>1973</v>
      </c>
      <c r="J6" s="16">
        <v>4565</v>
      </c>
      <c r="K6" s="16">
        <f>I6+J6-C6-E6</f>
        <v>0</v>
      </c>
      <c r="L6" s="16">
        <f>C6-I6</f>
        <v>-506</v>
      </c>
      <c r="M6" s="16"/>
    </row>
    <row r="7" ht="20.05" customHeight="1">
      <c r="B7" s="26"/>
      <c r="C7" s="15">
        <v>1686</v>
      </c>
      <c r="D7" s="16">
        <v>6586</v>
      </c>
      <c r="E7" s="16">
        <f>D7-C7</f>
        <v>4900</v>
      </c>
      <c r="F7" s="16">
        <v>955</v>
      </c>
      <c r="G7" s="16">
        <f>7+20</f>
        <v>27</v>
      </c>
      <c r="H7" s="16">
        <v>0</v>
      </c>
      <c r="I7" s="16">
        <v>1951</v>
      </c>
      <c r="J7" s="16">
        <v>4635</v>
      </c>
      <c r="K7" s="16">
        <f>I7+J7-C7-E7</f>
        <v>0</v>
      </c>
      <c r="L7" s="16">
        <f>C7-I7</f>
        <v>-265</v>
      </c>
      <c r="M7" s="16"/>
    </row>
    <row r="8" ht="20.05" customHeight="1">
      <c r="B8" s="27">
        <v>2017</v>
      </c>
      <c r="C8" s="15">
        <v>1777</v>
      </c>
      <c r="D8" s="16">
        <v>7099</v>
      </c>
      <c r="E8" s="16">
        <f>D8-C8</f>
        <v>5322</v>
      </c>
      <c r="F8" s="16">
        <v>977</v>
      </c>
      <c r="G8" s="16">
        <v>25</v>
      </c>
      <c r="H8" s="16">
        <v>0</v>
      </c>
      <c r="I8" s="16">
        <v>2179</v>
      </c>
      <c r="J8" s="16">
        <v>4920</v>
      </c>
      <c r="K8" s="16">
        <f>I8+J8-C8-E8</f>
        <v>0</v>
      </c>
      <c r="L8" s="16">
        <f>C8-I8</f>
        <v>-402</v>
      </c>
      <c r="M8" s="16"/>
    </row>
    <row r="9" ht="20.05" customHeight="1">
      <c r="B9" s="26"/>
      <c r="C9" s="15">
        <v>1890</v>
      </c>
      <c r="D9" s="16">
        <v>7388</v>
      </c>
      <c r="E9" s="16">
        <f>D9-C9</f>
        <v>5498</v>
      </c>
      <c r="F9" s="16">
        <v>1009</v>
      </c>
      <c r="G9" s="16">
        <f>6+17</f>
        <v>23</v>
      </c>
      <c r="H9" s="16">
        <v>0</v>
      </c>
      <c r="I9" s="16">
        <v>2561</v>
      </c>
      <c r="J9" s="16">
        <v>4827</v>
      </c>
      <c r="K9" s="16">
        <f>I9+J9-C9-E9</f>
        <v>0</v>
      </c>
      <c r="L9" s="16">
        <f>C9-I9</f>
        <v>-671</v>
      </c>
      <c r="M9" s="16"/>
    </row>
    <row r="10" ht="20.05" customHeight="1">
      <c r="B10" s="26"/>
      <c r="C10" s="15"/>
      <c r="D10" s="16"/>
      <c r="E10" s="16">
        <f>D10-C10</f>
        <v>0</v>
      </c>
      <c r="F10" s="16"/>
      <c r="G10" s="16"/>
      <c r="H10" s="16"/>
      <c r="I10" s="16"/>
      <c r="J10" s="16"/>
      <c r="K10" s="16">
        <f>I10+J10-C10-E10</f>
        <v>0</v>
      </c>
      <c r="L10" s="16">
        <f>C10-I10</f>
        <v>0</v>
      </c>
      <c r="M10" s="16"/>
    </row>
    <row r="11" ht="20.05" customHeight="1">
      <c r="B11" s="26"/>
      <c r="C11" s="15">
        <v>1973</v>
      </c>
      <c r="D11" s="16">
        <v>7435</v>
      </c>
      <c r="E11" s="16">
        <f>D11-C11</f>
        <v>5462</v>
      </c>
      <c r="F11" s="16">
        <v>1066</v>
      </c>
      <c r="G11" s="16">
        <f t="shared" si="24" ref="G11:G12">7+15</f>
        <v>22</v>
      </c>
      <c r="H11" s="16">
        <v>0</v>
      </c>
      <c r="I11" s="16">
        <v>2353</v>
      </c>
      <c r="J11" s="16">
        <v>5082</v>
      </c>
      <c r="K11" s="16">
        <f>I11+J11-C11-E11</f>
        <v>0</v>
      </c>
      <c r="L11" s="16">
        <f>C11-I11</f>
        <v>-380</v>
      </c>
      <c r="M11" s="16"/>
    </row>
    <row r="12" ht="20.05" customHeight="1">
      <c r="B12" s="27">
        <v>2018</v>
      </c>
      <c r="C12" s="15">
        <v>1839</v>
      </c>
      <c r="D12" s="16">
        <v>7529</v>
      </c>
      <c r="E12" s="16">
        <f>D12-C12</f>
        <v>5690</v>
      </c>
      <c r="F12" s="16">
        <v>1099</v>
      </c>
      <c r="G12" s="16">
        <f t="shared" si="24"/>
        <v>22</v>
      </c>
      <c r="H12" s="16">
        <v>0</v>
      </c>
      <c r="I12" s="16">
        <v>2230</v>
      </c>
      <c r="J12" s="16">
        <v>5299</v>
      </c>
      <c r="K12" s="16">
        <f>I12+J12-C12-E12</f>
        <v>0</v>
      </c>
      <c r="L12" s="16">
        <f>C12-I12</f>
        <v>-391</v>
      </c>
      <c r="M12" s="16"/>
    </row>
    <row r="13" ht="20.05" customHeight="1">
      <c r="B13" s="26"/>
      <c r="C13" s="15">
        <v>2081</v>
      </c>
      <c r="D13" s="16">
        <v>7786</v>
      </c>
      <c r="E13" s="16">
        <f>D13-C13</f>
        <v>5705</v>
      </c>
      <c r="F13" s="16">
        <v>1132</v>
      </c>
      <c r="G13" s="16">
        <f>8+30</f>
        <v>38</v>
      </c>
      <c r="H13" s="16">
        <v>0</v>
      </c>
      <c r="I13" s="16">
        <v>2532</v>
      </c>
      <c r="J13" s="16">
        <v>5254</v>
      </c>
      <c r="K13" s="16">
        <f>I13+J13-C13-E13</f>
        <v>0</v>
      </c>
      <c r="L13" s="16">
        <f>C13-I13</f>
        <v>-451</v>
      </c>
      <c r="M13" s="16"/>
    </row>
    <row r="14" ht="20.05" customHeight="1">
      <c r="B14" s="26"/>
      <c r="C14" s="15">
        <v>1710</v>
      </c>
      <c r="D14" s="16">
        <v>7640</v>
      </c>
      <c r="E14" s="16">
        <f>D14-C14</f>
        <v>5930</v>
      </c>
      <c r="F14" s="16">
        <v>1156</v>
      </c>
      <c r="G14" s="16">
        <f>35+8</f>
        <v>43</v>
      </c>
      <c r="H14" s="16">
        <v>0</v>
      </c>
      <c r="I14" s="16">
        <v>2297</v>
      </c>
      <c r="J14" s="16">
        <v>5343</v>
      </c>
      <c r="K14" s="16">
        <f>I14+J14-C14-E14</f>
        <v>0</v>
      </c>
      <c r="L14" s="16">
        <f>C14-I14</f>
        <v>-587</v>
      </c>
      <c r="M14" s="16"/>
    </row>
    <row r="15" ht="20.05" customHeight="1">
      <c r="B15" s="26"/>
      <c r="C15" s="15">
        <v>1903</v>
      </c>
      <c r="D15" s="16">
        <v>7870</v>
      </c>
      <c r="E15" s="16">
        <f>D15-C15</f>
        <v>5967</v>
      </c>
      <c r="F15" s="16">
        <v>1188</v>
      </c>
      <c r="G15" s="16">
        <f>15+37</f>
        <v>52</v>
      </c>
      <c r="H15" s="16">
        <v>0</v>
      </c>
      <c r="I15" s="16">
        <v>2437</v>
      </c>
      <c r="J15" s="16">
        <v>5433</v>
      </c>
      <c r="K15" s="16">
        <f>I15+J15-C15-E15</f>
        <v>0</v>
      </c>
      <c r="L15" s="16">
        <f>C15-I15</f>
        <v>-534</v>
      </c>
      <c r="M15" s="16"/>
    </row>
    <row r="16" ht="20.05" customHeight="1">
      <c r="B16" s="27">
        <v>2019</v>
      </c>
      <c r="C16" s="15">
        <v>1940</v>
      </c>
      <c r="D16" s="16">
        <v>8100</v>
      </c>
      <c r="E16" s="16">
        <f>D16-C16</f>
        <v>6160</v>
      </c>
      <c r="F16" s="16">
        <v>1224</v>
      </c>
      <c r="G16" s="16">
        <f>15+34</f>
        <v>49</v>
      </c>
      <c r="H16" s="16">
        <v>0</v>
      </c>
      <c r="I16" s="16">
        <v>2446</v>
      </c>
      <c r="J16" s="16">
        <v>5654</v>
      </c>
      <c r="K16" s="16">
        <f>I16+J16-C16-E16</f>
        <v>0</v>
      </c>
      <c r="L16" s="16">
        <f>C16-I16</f>
        <v>-506</v>
      </c>
      <c r="M16" s="16"/>
    </row>
    <row r="17" ht="20.05" customHeight="1">
      <c r="B17" s="26"/>
      <c r="C17" s="15">
        <v>1925</v>
      </c>
      <c r="D17" s="16">
        <v>8065</v>
      </c>
      <c r="E17" s="16">
        <f>D17-C17</f>
        <v>6140</v>
      </c>
      <c r="F17" s="16">
        <v>1267</v>
      </c>
      <c r="G17" s="16">
        <f t="shared" si="48" ref="G17:G22">16+34</f>
        <v>50</v>
      </c>
      <c r="H17" s="16">
        <v>0</v>
      </c>
      <c r="I17" s="16">
        <v>2461</v>
      </c>
      <c r="J17" s="16">
        <v>5604</v>
      </c>
      <c r="K17" s="16">
        <f>I17+J17-C17-E17</f>
        <v>0</v>
      </c>
      <c r="L17" s="16">
        <f>C17-I17</f>
        <v>-536</v>
      </c>
      <c r="M17" s="16"/>
    </row>
    <row r="18" ht="20.05" customHeight="1">
      <c r="B18" s="26"/>
      <c r="C18" s="15">
        <v>1889</v>
      </c>
      <c r="D18" s="16">
        <v>7985</v>
      </c>
      <c r="E18" s="16">
        <f>D18-C18</f>
        <v>6096</v>
      </c>
      <c r="F18" s="16">
        <v>1304</v>
      </c>
      <c r="G18" s="16">
        <f>16+48</f>
        <v>64</v>
      </c>
      <c r="H18" s="16">
        <v>0</v>
      </c>
      <c r="I18" s="16">
        <v>2287</v>
      </c>
      <c r="J18" s="16">
        <v>5698</v>
      </c>
      <c r="K18" s="16">
        <f>I18+J18-C18-E18</f>
        <v>0</v>
      </c>
      <c r="L18" s="16">
        <f>C18-I18</f>
        <v>-398</v>
      </c>
      <c r="M18" s="16"/>
    </row>
    <row r="19" ht="20.05" customHeight="1">
      <c r="B19" s="26"/>
      <c r="C19" s="15">
        <v>2254</v>
      </c>
      <c r="D19" s="16">
        <v>8373</v>
      </c>
      <c r="E19" s="16">
        <f>D19-C19</f>
        <v>6119</v>
      </c>
      <c r="F19" s="16">
        <f>1334</f>
        <v>1334</v>
      </c>
      <c r="G19" s="16">
        <v>0</v>
      </c>
      <c r="H19" s="16">
        <v>62</v>
      </c>
      <c r="I19" s="16">
        <v>2582</v>
      </c>
      <c r="J19" s="16">
        <v>5791</v>
      </c>
      <c r="K19" s="16">
        <f>I19+J19-C19-E19</f>
        <v>0</v>
      </c>
      <c r="L19" s="16">
        <f>C19-I19</f>
        <v>-328</v>
      </c>
      <c r="M19" s="34"/>
    </row>
    <row r="20" ht="20.05" customHeight="1">
      <c r="B20" s="27">
        <v>2020</v>
      </c>
      <c r="C20" s="15">
        <v>2377</v>
      </c>
      <c r="D20" s="16">
        <v>8884</v>
      </c>
      <c r="E20" s="16">
        <f>D20-C20</f>
        <v>6507</v>
      </c>
      <c r="F20" s="16">
        <f>1379+8</f>
        <v>1387</v>
      </c>
      <c r="G20" s="16">
        <f>19+37</f>
        <v>56</v>
      </c>
      <c r="H20" s="16">
        <f>19+48</f>
        <v>67</v>
      </c>
      <c r="I20" s="16">
        <v>2781</v>
      </c>
      <c r="J20" s="16">
        <v>6103</v>
      </c>
      <c r="K20" s="16">
        <f>I20+J20-C20-E20</f>
        <v>0</v>
      </c>
      <c r="L20" s="16">
        <f>C20-I20</f>
        <v>-404</v>
      </c>
      <c r="M20" s="34"/>
    </row>
    <row r="21" ht="20.05" customHeight="1">
      <c r="B21" s="26"/>
      <c r="C21" s="15">
        <v>2431</v>
      </c>
      <c r="D21" s="16">
        <v>8757</v>
      </c>
      <c r="E21" s="16">
        <f>D21-C21</f>
        <v>6326</v>
      </c>
      <c r="F21" s="16">
        <f>1422+15</f>
        <v>1437</v>
      </c>
      <c r="G21" s="16">
        <f>19+32</f>
        <v>51</v>
      </c>
      <c r="H21" s="16">
        <f>21+16</f>
        <v>37</v>
      </c>
      <c r="I21" s="16">
        <v>2802</v>
      </c>
      <c r="J21" s="16">
        <v>5955</v>
      </c>
      <c r="K21" s="16">
        <f>I21+J21-C21-E21</f>
        <v>0</v>
      </c>
      <c r="L21" s="16">
        <f>C21-I21</f>
        <v>-371</v>
      </c>
      <c r="M21" s="34"/>
    </row>
    <row r="22" ht="20.05" customHeight="1">
      <c r="B22" s="26"/>
      <c r="C22" s="15">
        <v>2349</v>
      </c>
      <c r="D22" s="16">
        <v>8897</v>
      </c>
      <c r="E22" s="16">
        <f>D22-C22</f>
        <v>6548</v>
      </c>
      <c r="F22" s="16">
        <f>1462+22</f>
        <v>1484</v>
      </c>
      <c r="G22" s="16">
        <f t="shared" si="48"/>
        <v>50</v>
      </c>
      <c r="H22" s="16">
        <f>18+13</f>
        <v>31</v>
      </c>
      <c r="I22" s="16">
        <v>2806</v>
      </c>
      <c r="J22" s="16">
        <v>6091</v>
      </c>
      <c r="K22" s="16">
        <f>I22+J22-C22-E22</f>
        <v>0</v>
      </c>
      <c r="L22" s="16">
        <f>C22-I22</f>
        <v>-457</v>
      </c>
      <c r="M22" s="34"/>
    </row>
    <row r="23" ht="20.05" customHeight="1">
      <c r="B23" s="26"/>
      <c r="C23" s="15">
        <v>2645.9</v>
      </c>
      <c r="D23" s="16">
        <v>9104.6</v>
      </c>
      <c r="E23" s="16">
        <f>D23-C23</f>
        <v>6458.7</v>
      </c>
      <c r="F23" s="16">
        <f>1466+109</f>
        <v>1575</v>
      </c>
      <c r="G23" s="16">
        <v>0</v>
      </c>
      <c r="H23" s="16">
        <v>74</v>
      </c>
      <c r="I23" s="16">
        <v>2727.4</v>
      </c>
      <c r="J23" s="16">
        <v>6377.2</v>
      </c>
      <c r="K23" s="16">
        <f>I23+J23-C23-E23</f>
        <v>0</v>
      </c>
      <c r="L23" s="16">
        <f>C23-I23</f>
        <v>-81.5</v>
      </c>
      <c r="M23" s="34"/>
    </row>
    <row r="24" ht="20.05" customHeight="1">
      <c r="B24" s="27">
        <v>2021</v>
      </c>
      <c r="C24" s="15">
        <v>2677</v>
      </c>
      <c r="D24" s="16">
        <v>9716</v>
      </c>
      <c r="E24" s="16">
        <f>D24-C24</f>
        <v>7039</v>
      </c>
      <c r="F24" s="16">
        <f>1510+118</f>
        <v>1628</v>
      </c>
      <c r="G24" s="16">
        <v>0</v>
      </c>
      <c r="H24" s="16">
        <f>22+39</f>
        <v>61</v>
      </c>
      <c r="I24" s="16">
        <v>3027</v>
      </c>
      <c r="J24" s="16">
        <v>6689</v>
      </c>
      <c r="K24" s="16">
        <f>I24+J24-C24-E24</f>
        <v>0</v>
      </c>
      <c r="L24" s="16">
        <f>C24-I24</f>
        <v>-350</v>
      </c>
      <c r="M24" s="16"/>
    </row>
    <row r="25" ht="20.05" customHeight="1">
      <c r="B25" s="26"/>
      <c r="C25" s="15">
        <v>2722</v>
      </c>
      <c r="D25" s="16">
        <v>9613</v>
      </c>
      <c r="E25" s="16">
        <f>D25-C25</f>
        <v>6891</v>
      </c>
      <c r="F25" s="16">
        <f>1550+127</f>
        <v>1677</v>
      </c>
      <c r="G25" s="16">
        <v>0</v>
      </c>
      <c r="H25" s="16">
        <f>23+35</f>
        <v>58</v>
      </c>
      <c r="I25" s="16">
        <v>3063</v>
      </c>
      <c r="J25" s="16">
        <v>6550</v>
      </c>
      <c r="K25" s="16">
        <f>I25+J25-C25-E25</f>
        <v>0</v>
      </c>
      <c r="L25" s="16">
        <f>C25-I25</f>
        <v>-341</v>
      </c>
      <c r="M25" s="16"/>
    </row>
    <row r="26" ht="20.05" customHeight="1">
      <c r="B26" s="26"/>
      <c r="C26" s="15">
        <v>2689</v>
      </c>
      <c r="D26" s="16">
        <v>9616</v>
      </c>
      <c r="E26" s="16">
        <f>D26-C26</f>
        <v>6927</v>
      </c>
      <c r="F26" s="16">
        <f>1591+76</f>
        <v>1667</v>
      </c>
      <c r="G26" s="16">
        <v>0</v>
      </c>
      <c r="H26" s="16">
        <f>39+99</f>
        <v>138</v>
      </c>
      <c r="I26" s="16">
        <v>2924</v>
      </c>
      <c r="J26" s="16">
        <v>6692</v>
      </c>
      <c r="K26" s="16">
        <f>I26+J26-C26-E26</f>
        <v>0</v>
      </c>
      <c r="L26" s="16">
        <f>C26-I26</f>
        <v>-235</v>
      </c>
      <c r="M26" s="16">
        <f>L26</f>
        <v>-235</v>
      </c>
    </row>
    <row r="27" ht="20.05" customHeight="1">
      <c r="B27" s="26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>
        <f>'Model'!F31</f>
        <v>97.393676506020</v>
      </c>
    </row>
  </sheetData>
  <mergeCells count="1">
    <mergeCell ref="B2:M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7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5" customWidth="1"/>
    <col min="2" max="4" width="9.9375" style="35" customWidth="1"/>
    <col min="5" max="16384" width="16.3516" style="35" customWidth="1"/>
  </cols>
  <sheetData>
    <row r="1" ht="30.75" customHeight="1"/>
    <row r="2" ht="27.65" customHeight="1">
      <c r="B2" t="s" s="2">
        <v>55</v>
      </c>
      <c r="C2" s="2"/>
      <c r="D2" s="2"/>
    </row>
    <row r="3" ht="20.25" customHeight="1">
      <c r="B3" s="5"/>
      <c r="C3" t="s" s="4">
        <v>56</v>
      </c>
      <c r="D3" t="s" s="4">
        <v>57</v>
      </c>
    </row>
    <row r="4" ht="20.25" customHeight="1">
      <c r="B4" s="23">
        <v>2016</v>
      </c>
      <c r="C4" s="29">
        <v>1521.226196</v>
      </c>
      <c r="D4" s="8"/>
    </row>
    <row r="5" ht="20.05" customHeight="1">
      <c r="B5" s="26"/>
      <c r="C5" s="15">
        <v>1712.466309</v>
      </c>
      <c r="D5" s="18"/>
    </row>
    <row r="6" ht="20.05" customHeight="1">
      <c r="B6" s="26"/>
      <c r="C6" s="15">
        <v>1738.544312</v>
      </c>
      <c r="D6" s="18"/>
    </row>
    <row r="7" ht="20.05" customHeight="1">
      <c r="B7" s="26"/>
      <c r="C7" s="15">
        <v>1655.963501</v>
      </c>
      <c r="D7" s="18"/>
    </row>
    <row r="8" ht="20.05" customHeight="1">
      <c r="B8" s="26"/>
      <c r="C8" s="15">
        <v>1508.187256</v>
      </c>
      <c r="D8" s="18"/>
    </row>
    <row r="9" ht="20.05" customHeight="1">
      <c r="B9" s="26"/>
      <c r="C9" s="15">
        <v>1797.589722</v>
      </c>
      <c r="D9" s="18"/>
    </row>
    <row r="10" ht="20.05" customHeight="1">
      <c r="B10" s="26"/>
      <c r="C10" s="15">
        <v>1994.340698</v>
      </c>
      <c r="D10" s="18"/>
    </row>
    <row r="11" ht="20.05" customHeight="1">
      <c r="B11" s="26"/>
      <c r="C11" s="15">
        <v>2012.227295</v>
      </c>
      <c r="D11" s="18"/>
    </row>
    <row r="12" ht="20.05" customHeight="1">
      <c r="B12" s="26"/>
      <c r="C12" s="15">
        <v>1922.794922</v>
      </c>
      <c r="D12" s="18"/>
    </row>
    <row r="13" ht="20.05" customHeight="1">
      <c r="B13" s="26"/>
      <c r="C13" s="15">
        <v>1833.362671</v>
      </c>
      <c r="D13" s="18"/>
    </row>
    <row r="14" ht="20.05" customHeight="1">
      <c r="B14" s="26"/>
      <c r="C14" s="15">
        <v>1761.816772</v>
      </c>
      <c r="D14" s="18"/>
    </row>
    <row r="15" ht="20.05" customHeight="1">
      <c r="B15" s="26"/>
      <c r="C15" s="15">
        <v>1663.441162</v>
      </c>
      <c r="D15" s="18"/>
    </row>
    <row r="16" ht="20.05" customHeight="1">
      <c r="B16" s="27">
        <v>2017</v>
      </c>
      <c r="C16" s="15">
        <v>1641.08313</v>
      </c>
      <c r="D16" s="18"/>
    </row>
    <row r="17" ht="20.05" customHeight="1">
      <c r="B17" s="26"/>
      <c r="C17" s="15">
        <v>1752.873535</v>
      </c>
      <c r="D17" s="18"/>
    </row>
    <row r="18" ht="20.05" customHeight="1">
      <c r="B18" s="26"/>
      <c r="C18" s="15">
        <v>1851.249023</v>
      </c>
      <c r="D18" s="18"/>
    </row>
    <row r="19" ht="20.05" customHeight="1">
      <c r="B19" s="26"/>
      <c r="C19" s="15">
        <v>1842.305908</v>
      </c>
      <c r="D19" s="18"/>
    </row>
    <row r="20" ht="20.05" customHeight="1">
      <c r="B20" s="26"/>
      <c r="C20" s="15">
        <v>1797.589722</v>
      </c>
      <c r="D20" s="18"/>
    </row>
    <row r="21" ht="20.05" customHeight="1">
      <c r="B21" s="26"/>
      <c r="C21" s="15">
        <v>1774.887695</v>
      </c>
      <c r="D21" s="18"/>
    </row>
    <row r="22" ht="20.05" customHeight="1">
      <c r="B22" s="26"/>
      <c r="C22" s="15">
        <v>1756.542603</v>
      </c>
      <c r="D22" s="18"/>
    </row>
    <row r="23" ht="20.05" customHeight="1">
      <c r="B23" s="26"/>
      <c r="C23" s="15">
        <v>1733.611084</v>
      </c>
      <c r="D23" s="18"/>
    </row>
    <row r="24" ht="20.05" customHeight="1">
      <c r="B24" s="26"/>
      <c r="C24" s="15">
        <v>1696.921021</v>
      </c>
      <c r="D24" s="18"/>
    </row>
    <row r="25" ht="20.05" customHeight="1">
      <c r="B25" s="26"/>
      <c r="C25" s="15">
        <v>1651.058228</v>
      </c>
      <c r="D25" s="18"/>
    </row>
    <row r="26" ht="20.05" customHeight="1">
      <c r="B26" s="26"/>
      <c r="C26" s="15">
        <v>1651.058228</v>
      </c>
      <c r="D26" s="18"/>
    </row>
    <row r="27" ht="20.05" customHeight="1">
      <c r="B27" s="26"/>
      <c r="C27" s="15">
        <v>1522.6427</v>
      </c>
      <c r="D27" s="18"/>
    </row>
    <row r="28" ht="20.05" customHeight="1">
      <c r="B28" s="27">
        <v>2018</v>
      </c>
      <c r="C28" s="15">
        <v>1490.538818</v>
      </c>
      <c r="D28" s="18"/>
    </row>
    <row r="29" ht="20.05" customHeight="1">
      <c r="B29" s="26"/>
      <c r="C29" s="15">
        <v>1490.538818</v>
      </c>
      <c r="D29" s="18"/>
    </row>
    <row r="30" ht="20.05" customHeight="1">
      <c r="B30" s="26"/>
      <c r="C30" s="15">
        <v>1458.434814</v>
      </c>
      <c r="D30" s="18"/>
    </row>
    <row r="31" ht="20.05" customHeight="1">
      <c r="B31" s="26"/>
      <c r="C31" s="15">
        <v>1444.675903</v>
      </c>
      <c r="D31" s="18"/>
    </row>
    <row r="32" ht="20.05" customHeight="1">
      <c r="B32" s="26"/>
      <c r="C32" s="15">
        <v>1426.330933</v>
      </c>
      <c r="D32" s="18"/>
    </row>
    <row r="33" ht="20.05" customHeight="1">
      <c r="B33" s="26"/>
      <c r="C33" s="15">
        <v>1410.714355</v>
      </c>
      <c r="D33" s="18"/>
    </row>
    <row r="34" ht="20.05" customHeight="1">
      <c r="B34" s="26"/>
      <c r="C34" s="15">
        <v>1391.904785</v>
      </c>
      <c r="D34" s="18"/>
    </row>
    <row r="35" ht="20.05" customHeight="1">
      <c r="B35" s="26"/>
      <c r="C35" s="15">
        <v>1321.369019</v>
      </c>
      <c r="D35" s="18"/>
    </row>
    <row r="36" ht="20.05" customHeight="1">
      <c r="B36" s="26"/>
      <c r="C36" s="15">
        <v>1297.857178</v>
      </c>
      <c r="D36" s="18"/>
    </row>
    <row r="37" ht="20.05" customHeight="1">
      <c r="B37" s="26"/>
      <c r="C37" s="15">
        <v>1311.964355</v>
      </c>
      <c r="D37" s="18"/>
    </row>
    <row r="38" ht="20.05" customHeight="1">
      <c r="B38" s="26"/>
      <c r="C38" s="15">
        <v>1307.261963</v>
      </c>
      <c r="D38" s="18"/>
    </row>
    <row r="39" ht="20.05" customHeight="1">
      <c r="B39" s="26"/>
      <c r="C39" s="15">
        <v>1434.226318</v>
      </c>
      <c r="D39" s="18"/>
    </row>
    <row r="40" ht="20.05" customHeight="1">
      <c r="B40" s="27">
        <v>2019</v>
      </c>
      <c r="C40" s="15">
        <v>1702.261963</v>
      </c>
      <c r="D40" s="18"/>
    </row>
    <row r="41" ht="20.05" customHeight="1">
      <c r="B41" s="26"/>
      <c r="C41" s="15">
        <v>1702.261963</v>
      </c>
      <c r="D41" s="18"/>
    </row>
    <row r="42" ht="20.05" customHeight="1">
      <c r="B42" s="26"/>
      <c r="C42" s="15">
        <v>1636.428589</v>
      </c>
      <c r="D42" s="18"/>
    </row>
    <row r="43" ht="20.05" customHeight="1">
      <c r="B43" s="26"/>
      <c r="C43" s="15">
        <v>1504.761963</v>
      </c>
      <c r="D43" s="18"/>
    </row>
    <row r="44" ht="20.05" customHeight="1">
      <c r="B44" s="26"/>
      <c r="C44" s="15">
        <v>1462.440552</v>
      </c>
      <c r="D44" s="18"/>
    </row>
    <row r="45" ht="20.05" customHeight="1">
      <c r="B45" s="26"/>
      <c r="C45" s="15">
        <v>1513.928589</v>
      </c>
      <c r="D45" s="18"/>
    </row>
    <row r="46" ht="20.05" customHeight="1">
      <c r="B46" s="26"/>
      <c r="C46" s="15">
        <v>1566.964355</v>
      </c>
      <c r="D46" s="18"/>
    </row>
    <row r="47" ht="20.05" customHeight="1">
      <c r="B47" s="26"/>
      <c r="C47" s="15">
        <v>1446.428589</v>
      </c>
      <c r="D47" s="18"/>
    </row>
    <row r="48" ht="20.05" customHeight="1">
      <c r="B48" s="26"/>
      <c r="C48" s="15">
        <v>1364.464355</v>
      </c>
      <c r="D48" s="18"/>
    </row>
    <row r="49" ht="20.05" customHeight="1">
      <c r="B49" s="26"/>
      <c r="C49" s="15">
        <v>1350</v>
      </c>
      <c r="D49" s="18"/>
    </row>
    <row r="50" ht="20.05" customHeight="1">
      <c r="B50" s="26"/>
      <c r="C50" s="15">
        <v>1345.178589</v>
      </c>
      <c r="D50" s="18"/>
    </row>
    <row r="51" ht="20.05" customHeight="1">
      <c r="B51" s="26"/>
      <c r="C51" s="15">
        <v>1248.75</v>
      </c>
      <c r="D51" s="18"/>
    </row>
    <row r="52" ht="20.05" customHeight="1">
      <c r="B52" s="27">
        <v>2020</v>
      </c>
      <c r="C52" s="15">
        <v>1195.714355</v>
      </c>
      <c r="D52" s="18"/>
    </row>
    <row r="53" ht="20.05" customHeight="1">
      <c r="B53" s="26"/>
      <c r="C53" s="15">
        <v>1195.714355</v>
      </c>
      <c r="D53" s="18"/>
    </row>
    <row r="54" ht="20.05" customHeight="1">
      <c r="B54" s="26"/>
      <c r="C54" s="15">
        <v>930.535706</v>
      </c>
      <c r="D54" s="18"/>
    </row>
    <row r="55" ht="20.05" customHeight="1">
      <c r="B55" s="26"/>
      <c r="C55" s="15">
        <v>1186.071411</v>
      </c>
      <c r="D55" s="18"/>
    </row>
    <row r="56" ht="20.05" customHeight="1">
      <c r="B56" s="26"/>
      <c r="C56" s="15">
        <v>1157.142822</v>
      </c>
      <c r="D56" s="18"/>
    </row>
    <row r="57" ht="20.05" customHeight="1">
      <c r="B57" s="26"/>
      <c r="C57" s="15">
        <v>1340.357178</v>
      </c>
      <c r="D57" s="18"/>
    </row>
    <row r="58" ht="20.05" customHeight="1">
      <c r="B58" s="26"/>
      <c r="C58" s="15">
        <v>1380</v>
      </c>
      <c r="D58" s="18"/>
    </row>
    <row r="59" ht="20.05" customHeight="1">
      <c r="B59" s="26"/>
      <c r="C59" s="15">
        <v>1335</v>
      </c>
      <c r="D59" s="18"/>
    </row>
    <row r="60" ht="20.05" customHeight="1">
      <c r="B60" s="26"/>
      <c r="C60" s="15">
        <v>1280</v>
      </c>
      <c r="D60" s="18"/>
    </row>
    <row r="61" ht="20.05" customHeight="1">
      <c r="B61" s="26"/>
      <c r="C61" s="15">
        <v>1260</v>
      </c>
      <c r="D61" s="18"/>
    </row>
    <row r="62" ht="20.05" customHeight="1">
      <c r="B62" s="26"/>
      <c r="C62" s="15">
        <v>1300</v>
      </c>
      <c r="D62" s="18"/>
    </row>
    <row r="63" ht="20.05" customHeight="1">
      <c r="B63" s="26"/>
      <c r="C63" s="15">
        <v>1400</v>
      </c>
      <c r="D63" s="18"/>
    </row>
    <row r="64" ht="20.05" customHeight="1">
      <c r="B64" s="27">
        <v>2021</v>
      </c>
      <c r="C64" s="15">
        <v>1370</v>
      </c>
      <c r="D64" s="18"/>
    </row>
    <row r="65" ht="20.05" customHeight="1">
      <c r="B65" s="26"/>
      <c r="C65" s="15">
        <v>1465</v>
      </c>
      <c r="D65" s="36"/>
    </row>
    <row r="66" ht="20.05" customHeight="1">
      <c r="B66" s="26"/>
      <c r="C66" s="15">
        <v>1480</v>
      </c>
      <c r="D66" s="36"/>
    </row>
    <row r="67" ht="20.05" customHeight="1">
      <c r="B67" s="26"/>
      <c r="C67" s="15">
        <v>1475</v>
      </c>
      <c r="D67" s="36"/>
    </row>
    <row r="68" ht="20.05" customHeight="1">
      <c r="B68" s="26"/>
      <c r="C68" s="15">
        <v>1520</v>
      </c>
      <c r="D68" s="36"/>
    </row>
    <row r="69" ht="20.05" customHeight="1">
      <c r="B69" s="26"/>
      <c r="C69" s="15">
        <v>1470</v>
      </c>
      <c r="D69" s="36"/>
    </row>
    <row r="70" ht="20.05" customHeight="1">
      <c r="B70" s="26"/>
      <c r="C70" s="15">
        <v>1460</v>
      </c>
      <c r="D70" s="36"/>
    </row>
    <row r="71" ht="20.05" customHeight="1">
      <c r="B71" s="26"/>
      <c r="C71" s="15">
        <v>1465</v>
      </c>
      <c r="D71" s="36"/>
    </row>
    <row r="72" ht="20.05" customHeight="1">
      <c r="B72" s="26"/>
      <c r="C72" s="15">
        <v>1430</v>
      </c>
      <c r="D72" s="18"/>
    </row>
    <row r="73" ht="20.05" customHeight="1">
      <c r="B73" s="26"/>
      <c r="C73" s="15">
        <v>1470</v>
      </c>
      <c r="D73" s="18"/>
    </row>
    <row r="74" ht="20.05" customHeight="1">
      <c r="B74" s="26"/>
      <c r="C74" s="15">
        <v>1475</v>
      </c>
      <c r="D74" s="37">
        <f>C74</f>
        <v>1475</v>
      </c>
    </row>
    <row r="75" ht="20.05" customHeight="1">
      <c r="B75" s="26"/>
      <c r="C75" s="15"/>
      <c r="D75" s="37">
        <f>'Model'!F43</f>
        <v>2070.842106973140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