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ales - Profit quarterly" sheetId="2" r:id="rId5"/>
    <sheet name="Cash Flow - Cash Flow quarterly" sheetId="3" r:id="rId6"/>
    <sheet name="Balance sheet - Balance sheet" sheetId="4" r:id="rId7"/>
    <sheet name="Share price - TSLA" sheetId="5" r:id="rId8"/>
    <sheet name="Model - Financial model" sheetId="6" r:id="rId9"/>
    <sheet name="Valuation  - Valuation" sheetId="7" r:id="rId10"/>
  </sheets>
</workbook>
</file>

<file path=xl/sharedStrings.xml><?xml version="1.0" encoding="utf-8"?>
<sst xmlns="http://schemas.openxmlformats.org/spreadsheetml/2006/main" uniqueCount="82">
  <si>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</si>
  <si>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</si>
  <si>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</si>
  <si>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</si>
  <si>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Sales</t>
  </si>
  <si>
    <t>Profit quarterly</t>
  </si>
  <si>
    <t>Sales - Profit quarterly</t>
  </si>
  <si>
    <t>$m</t>
  </si>
  <si>
    <t>Auto</t>
  </si>
  <si>
    <t xml:space="preserve">Forecast </t>
  </si>
  <si>
    <t xml:space="preserve">Sales growth </t>
  </si>
  <si>
    <t xml:space="preserve">Cost ratio </t>
  </si>
  <si>
    <t>Cash Flow</t>
  </si>
  <si>
    <t>Cash Flow quarterly</t>
  </si>
  <si>
    <t>Cash Flow - Cash Flow quarterly</t>
  </si>
  <si>
    <t xml:space="preserve">Net profit </t>
  </si>
  <si>
    <t>Others</t>
  </si>
  <si>
    <t>Working Capital</t>
  </si>
  <si>
    <t>Capex</t>
  </si>
  <si>
    <t xml:space="preserve">Operating </t>
  </si>
  <si>
    <t xml:space="preserve">Investment </t>
  </si>
  <si>
    <t>Finance</t>
  </si>
  <si>
    <t xml:space="preserve">Free cashflow </t>
  </si>
  <si>
    <t>Capital paid (raised)</t>
  </si>
  <si>
    <t>Balance sheet</t>
  </si>
  <si>
    <t>Balance sheet - Balance sheet</t>
  </si>
  <si>
    <t>Cash</t>
  </si>
  <si>
    <t>Assets</t>
  </si>
  <si>
    <t>Other assets</t>
  </si>
  <si>
    <t xml:space="preserve">Depreciation </t>
  </si>
  <si>
    <t xml:space="preserve">Liabilities </t>
  </si>
  <si>
    <t>Equity</t>
  </si>
  <si>
    <t>Subsidiaries</t>
  </si>
  <si>
    <t>Check</t>
  </si>
  <si>
    <t>Net cash</t>
  </si>
  <si>
    <t>Share price</t>
  </si>
  <si>
    <t>TSLA</t>
  </si>
  <si>
    <t>Share price - TSLA</t>
  </si>
  <si>
    <t>Volume</t>
  </si>
  <si>
    <t>Target</t>
  </si>
  <si>
    <t>Model</t>
  </si>
  <si>
    <t>Financial model</t>
  </si>
  <si>
    <t>Model - Financial model</t>
  </si>
  <si>
    <t>1Q 2021</t>
  </si>
  <si>
    <t>2Q 2021</t>
  </si>
  <si>
    <t>3Q 2021</t>
  </si>
  <si>
    <t>4Q 2021</t>
  </si>
  <si>
    <t>Cash flow</t>
  </si>
  <si>
    <t>Growth</t>
  </si>
  <si>
    <t>Cash cost ratio</t>
  </si>
  <si>
    <t xml:space="preserve">Cash cost </t>
  </si>
  <si>
    <t>Operating cashflow</t>
  </si>
  <si>
    <t>Investment cashflow</t>
  </si>
  <si>
    <t>Finance cashflow</t>
  </si>
  <si>
    <t xml:space="preserve">Cash flow before revolver </t>
  </si>
  <si>
    <t xml:space="preserve">Revolver </t>
  </si>
  <si>
    <t>Beginning cash</t>
  </si>
  <si>
    <t>Change</t>
  </si>
  <si>
    <t>Ending cash</t>
  </si>
  <si>
    <t>Profit</t>
  </si>
  <si>
    <t>Non cash costs</t>
  </si>
  <si>
    <t>Cash costs</t>
  </si>
  <si>
    <t>Net other assets</t>
  </si>
  <si>
    <t xml:space="preserve">Equity </t>
  </si>
  <si>
    <t xml:space="preserve">Subsidiaries </t>
  </si>
  <si>
    <t xml:space="preserve">Check </t>
  </si>
  <si>
    <t xml:space="preserve">Valuation </t>
  </si>
  <si>
    <t>Valuation</t>
  </si>
  <si>
    <t>Valuation  - Valuation</t>
  </si>
  <si>
    <t>Free cashflow</t>
  </si>
  <si>
    <t>Target value</t>
  </si>
  <si>
    <t xml:space="preserve">Adjustment </t>
  </si>
  <si>
    <t xml:space="preserve">Adjusted value </t>
  </si>
  <si>
    <t>Shares</t>
  </si>
  <si>
    <t>Target price</t>
  </si>
  <si>
    <t>Market value</t>
  </si>
  <si>
    <t>P/sales</t>
  </si>
  <si>
    <t>P/assets</t>
  </si>
  <si>
    <t>P/equity</t>
  </si>
  <si>
    <t xml:space="preserve">Profitability </t>
  </si>
  <si>
    <t xml:space="preserve">Profit growth </t>
  </si>
  <si>
    <t>Yield</t>
  </si>
</sst>
</file>

<file path=xl/styles.xml><?xml version="1.0" encoding="utf-8"?>
<styleSheet xmlns="http://schemas.openxmlformats.org/spreadsheetml/2006/main">
  <numFmts count="8">
    <numFmt numFmtId="0" formatCode="General"/>
    <numFmt numFmtId="59" formatCode="#,##0%_);[Red]\(#,##0%\)"/>
    <numFmt numFmtId="60" formatCode="0%_);[Red]\(0%\)"/>
    <numFmt numFmtId="61" formatCode="0.0%_);[Red]\(0.0%\)"/>
    <numFmt numFmtId="62" formatCode="mmmm"/>
    <numFmt numFmtId="63" formatCode="0.0%"/>
    <numFmt numFmtId="64" formatCode="#,##0.0"/>
    <numFmt numFmtId="65" formatCode="#,##0.0%_);[Red]\(#,##0.0%\)"/>
  </numFmts>
  <fonts count="9">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
      <sz val="10"/>
      <color indexed="16"/>
      <name val="Arial"/>
    </font>
    <font>
      <sz val="10"/>
      <color indexed="8"/>
      <name val="Arial"/>
    </font>
    <font>
      <sz val="12"/>
      <color indexed="8"/>
      <name val="Helvetica"/>
    </font>
    <font>
      <sz val="12"/>
      <color indexed="18"/>
      <name val="Helvetica Neue"/>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s>
  <borders count="14">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4"/>
      </left>
      <right style="thin">
        <color indexed="13"/>
      </right>
      <top style="thin">
        <color indexed="8"/>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8"/>
      </top>
      <bottom style="thin">
        <color indexed="17"/>
      </bottom>
      <diagonal/>
    </border>
    <border>
      <left style="thin">
        <color indexed="13"/>
      </left>
      <right style="thin">
        <color indexed="13"/>
      </right>
      <top style="thin">
        <color indexed="17"/>
      </top>
      <bottom style="thin">
        <color indexed="17"/>
      </bottom>
      <diagonal/>
    </border>
    <border>
      <left style="thin">
        <color indexed="13"/>
      </left>
      <right style="thin">
        <color indexed="13"/>
      </right>
      <top style="thin">
        <color indexed="17"/>
      </top>
      <bottom style="thin">
        <color indexed="13"/>
      </bottom>
      <diagonal/>
    </border>
  </borders>
  <cellStyleXfs count="1">
    <xf numFmtId="0" fontId="0" applyNumberFormat="0" applyFont="1" applyFill="0" applyBorder="0" applyAlignment="1" applyProtection="0">
      <alignment vertical="top" wrapText="1"/>
    </xf>
  </cellStyleXfs>
  <cellXfs count="57">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4" fillId="4" borderId="1" applyNumberFormat="1" applyFont="1" applyFill="1" applyBorder="1" applyAlignment="1" applyProtection="0">
      <alignment horizontal="right" vertical="top" wrapText="1"/>
    </xf>
    <xf numFmtId="0" fontId="4" fillId="5" borderId="2" applyNumberFormat="1" applyFont="1" applyFill="1" applyBorder="1" applyAlignment="1" applyProtection="0">
      <alignment vertical="top" wrapText="1"/>
    </xf>
    <xf numFmtId="38" fontId="0" borderId="3" applyNumberFormat="1" applyFont="1" applyFill="0" applyBorder="1" applyAlignment="1" applyProtection="0">
      <alignment vertical="top" wrapText="1"/>
    </xf>
    <xf numFmtId="38" fontId="0" borderId="4" applyNumberFormat="1" applyFont="1" applyFill="0" applyBorder="1" applyAlignment="1" applyProtection="0">
      <alignment vertical="top" wrapText="1"/>
    </xf>
    <xf numFmtId="59" fontId="0" borderId="4" applyNumberFormat="1" applyFont="1" applyFill="0" applyBorder="1" applyAlignment="1" applyProtection="0">
      <alignment vertical="top" wrapText="1"/>
    </xf>
    <xf numFmtId="0" fontId="4" fillId="5" borderId="5" applyNumberFormat="0" applyFont="1" applyFill="1" applyBorder="1" applyAlignment="1" applyProtection="0">
      <alignment vertical="top" wrapText="1"/>
    </xf>
    <xf numFmtId="38" fontId="0" borderId="6" applyNumberFormat="1" applyFont="1" applyFill="0" applyBorder="1" applyAlignment="1" applyProtection="0">
      <alignment vertical="top" wrapText="1"/>
    </xf>
    <xf numFmtId="38" fontId="0" borderId="7" applyNumberFormat="1" applyFont="1" applyFill="0" applyBorder="1" applyAlignment="1" applyProtection="0">
      <alignment vertical="top" wrapText="1"/>
    </xf>
    <xf numFmtId="59" fontId="0" borderId="7" applyNumberFormat="1" applyFont="1" applyFill="0" applyBorder="1" applyAlignment="1" applyProtection="0">
      <alignment vertical="top" wrapText="1"/>
    </xf>
    <xf numFmtId="0" fontId="4" fillId="5" borderId="5" applyNumberFormat="1" applyFont="1" applyFill="1" applyBorder="1" applyAlignment="1" applyProtection="0">
      <alignment vertical="top" wrapText="1"/>
    </xf>
    <xf numFmtId="0" fontId="0" borderId="7" applyNumberFormat="0" applyFont="1" applyFill="0" applyBorder="1" applyAlignment="1" applyProtection="0">
      <alignment vertical="top" wrapText="1"/>
    </xf>
    <xf numFmtId="60" fontId="0" borderId="7"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0" borderId="7"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4" fillId="4" borderId="1" applyNumberFormat="0" applyFont="1" applyFill="1" applyBorder="1" applyAlignment="1" applyProtection="0">
      <alignment vertical="top" wrapText="1"/>
    </xf>
    <xf numFmtId="49" fontId="4" fillId="4" borderId="8" applyNumberFormat="1" applyFont="1" applyFill="1" applyBorder="1" applyAlignment="1" applyProtection="0">
      <alignment vertical="top" wrapText="1"/>
    </xf>
    <xf numFmtId="3" fontId="5" borderId="9" applyNumberFormat="1" applyFont="1" applyFill="0" applyBorder="1" applyAlignment="1" applyProtection="0">
      <alignment horizontal="right" vertical="center" wrapText="1" readingOrder="1"/>
    </xf>
    <xf numFmtId="3" fontId="5" borderId="10" applyNumberFormat="1" applyFont="1" applyFill="0" applyBorder="1" applyAlignment="1" applyProtection="0">
      <alignment horizontal="right" vertical="center" wrapText="1" readingOrder="1"/>
    </xf>
    <xf numFmtId="1" fontId="6" borderId="11" applyNumberFormat="1" applyFont="1" applyFill="0" applyBorder="1" applyAlignment="1" applyProtection="0">
      <alignment horizontal="right" vertical="center" wrapText="1" readingOrder="1"/>
    </xf>
    <xf numFmtId="3" fontId="5" borderId="6" applyNumberFormat="1" applyFont="1" applyFill="0" applyBorder="1" applyAlignment="1" applyProtection="0">
      <alignment horizontal="right" vertical="center" wrapText="1" readingOrder="1"/>
    </xf>
    <xf numFmtId="3" fontId="5" borderId="7" applyNumberFormat="1" applyFont="1" applyFill="0" applyBorder="1" applyAlignment="1" applyProtection="0">
      <alignment horizontal="right" vertical="center" wrapText="1" readingOrder="1"/>
    </xf>
    <xf numFmtId="1" fontId="6" borderId="12" applyNumberFormat="1" applyFont="1" applyFill="0" applyBorder="1" applyAlignment="1" applyProtection="0">
      <alignment horizontal="right" vertical="center" wrapText="1" readingOrder="1"/>
    </xf>
    <xf numFmtId="1" fontId="6" fillId="6" borderId="12" applyNumberFormat="1" applyFont="1" applyFill="1" applyBorder="1" applyAlignment="1" applyProtection="0">
      <alignment horizontal="right" vertical="center" wrapText="1" readingOrder="1"/>
    </xf>
    <xf numFmtId="1" fontId="6" borderId="13" applyNumberFormat="1" applyFont="1" applyFill="0" applyBorder="1" applyAlignment="1" applyProtection="0">
      <alignment horizontal="right" vertical="center" wrapText="1" readingOrder="1"/>
    </xf>
    <xf numFmtId="3" fontId="0" borderId="6" applyNumberFormat="1" applyFont="1" applyFill="0" applyBorder="1" applyAlignment="1" applyProtection="0">
      <alignment vertical="top" wrapText="1"/>
    </xf>
    <xf numFmtId="3" fontId="0" borderId="7"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4" fillId="4" borderId="1" applyNumberFormat="1" applyFont="1" applyFill="1" applyBorder="1" applyAlignment="1" applyProtection="0">
      <alignment vertical="top" wrapText="1"/>
    </xf>
    <xf numFmtId="49" fontId="4" fillId="7" borderId="2" applyNumberFormat="1" applyFont="1" applyFill="1" applyBorder="1" applyAlignment="1" applyProtection="0">
      <alignment vertical="top" wrapText="1"/>
    </xf>
    <xf numFmtId="0" fontId="0" borderId="3" applyNumberFormat="0" applyFont="1" applyFill="0" applyBorder="1" applyAlignment="1" applyProtection="0">
      <alignment vertical="top" wrapText="1"/>
    </xf>
    <xf numFmtId="0" fontId="0" borderId="4" applyNumberFormat="0" applyFont="1" applyFill="0" applyBorder="1" applyAlignment="1" applyProtection="0">
      <alignment vertical="top" wrapText="1"/>
    </xf>
    <xf numFmtId="49" fontId="4" fillId="5" borderId="5" applyNumberFormat="1" applyFont="1" applyFill="1" applyBorder="1" applyAlignment="1" applyProtection="0">
      <alignment vertical="top" wrapText="1"/>
    </xf>
    <xf numFmtId="60" fontId="0" borderId="6" applyNumberFormat="1" applyFont="1" applyFill="0" applyBorder="1" applyAlignment="1" applyProtection="0">
      <alignment vertical="top" wrapText="1"/>
    </xf>
    <xf numFmtId="61" fontId="0" borderId="7" applyNumberFormat="1" applyFont="1" applyFill="0" applyBorder="1" applyAlignment="1" applyProtection="0">
      <alignment vertical="top" wrapText="1"/>
    </xf>
    <xf numFmtId="49" fontId="4" fillId="8" borderId="5" applyNumberFormat="1" applyFont="1" applyFill="1" applyBorder="1" applyAlignment="1" applyProtection="0">
      <alignment vertical="top" wrapText="1"/>
    </xf>
    <xf numFmtId="0" fontId="0" borderId="6" applyNumberFormat="0" applyFont="1" applyFill="0" applyBorder="1" applyAlignment="1" applyProtection="0">
      <alignment vertical="top" wrapText="1"/>
    </xf>
    <xf numFmtId="49" fontId="4" fillId="9" borderId="5" applyNumberFormat="1" applyFont="1" applyFill="1" applyBorder="1" applyAlignment="1" applyProtection="0">
      <alignment vertical="top" wrapText="1"/>
    </xf>
    <xf numFmtId="0" fontId="0" applyNumberFormat="1" applyFont="1" applyFill="0" applyBorder="0" applyAlignment="1" applyProtection="0">
      <alignment vertical="top" wrapText="1"/>
    </xf>
    <xf numFmtId="62" fontId="4" fillId="4" borderId="1" applyNumberFormat="1" applyFont="1" applyFill="1" applyBorder="1" applyAlignment="1" applyProtection="0">
      <alignment vertical="top" wrapText="1"/>
    </xf>
    <xf numFmtId="49" fontId="4" fillId="5" borderId="2" applyNumberFormat="1" applyFont="1" applyFill="1" applyBorder="1" applyAlignment="1" applyProtection="0">
      <alignment vertical="top" wrapText="1"/>
    </xf>
    <xf numFmtId="3" fontId="0" borderId="3" applyNumberFormat="1" applyFont="1" applyFill="0" applyBorder="1" applyAlignment="1" applyProtection="0">
      <alignment vertical="top" wrapText="1"/>
    </xf>
    <xf numFmtId="3" fontId="0" borderId="4" applyNumberFormat="1" applyFont="1" applyFill="0" applyBorder="1" applyAlignment="1" applyProtection="0">
      <alignment vertical="top" wrapText="1"/>
    </xf>
    <xf numFmtId="63" fontId="0" borderId="7" applyNumberFormat="1" applyFont="1" applyFill="0" applyBorder="1" applyAlignment="1" applyProtection="0">
      <alignment vertical="top" wrapText="1"/>
    </xf>
    <xf numFmtId="2" fontId="0" borderId="7" applyNumberFormat="1" applyFont="1" applyFill="0" applyBorder="1" applyAlignment="1" applyProtection="0">
      <alignment vertical="top" wrapText="1"/>
    </xf>
    <xf numFmtId="0" fontId="0" borderId="6" applyNumberFormat="1" applyFont="1" applyFill="0" applyBorder="1" applyAlignment="1" applyProtection="0">
      <alignment vertical="top" wrapText="1"/>
    </xf>
    <xf numFmtId="64" fontId="0" borderId="7" applyNumberFormat="1" applyFont="1" applyFill="0" applyBorder="1" applyAlignment="1" applyProtection="0">
      <alignment vertical="top" wrapText="1"/>
    </xf>
    <xf numFmtId="65" fontId="0" borderId="7"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rgbColor rgb="ff323232"/>
      <rgbColor rgb="ffd9d9d9"/>
      <rgbColor rgb="ffffffff"/>
      <rgbColor rgb="ff96d35f"/>
      <rgbColor rgb="fffff76b"/>
      <rgbColor rgb="ff52d6fc"/>
      <rgbColor rgb="ffb8b8b8"/>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43519"/>
          <c:y val="0.0426778"/>
          <c:w val="0.848285"/>
          <c:h val="0.886395"/>
        </c:manualLayout>
      </c:layout>
      <c:lineChart>
        <c:grouping val="standard"/>
        <c:varyColors val="0"/>
        <c:ser>
          <c:idx val="0"/>
          <c:order val="0"/>
          <c:tx>
            <c:strRef>
              <c:f>'Cash Flow - Cash Flow quarterly'!$J$3</c:f>
              <c:strCache>
                <c:ptCount val="1"/>
                <c:pt idx="0">
                  <c:v>Free cashflow </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'Cash Flow - Cash Flow quarterly'!$B$4:$B$28</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
                </c:pt>
              </c:strCache>
            </c:strRef>
          </c:cat>
          <c:val>
            <c:numRef>
              <c:f>'Cash Flow - Cash Flow quarterly'!$J$4:$J$28</c:f>
              <c:numCache>
                <c:ptCount val="24"/>
                <c:pt idx="0">
                  <c:v>-410.000000</c:v>
                </c:pt>
                <c:pt idx="1">
                  <c:v>-453.000000</c:v>
                </c:pt>
                <c:pt idx="2">
                  <c:v>458.000000</c:v>
                </c:pt>
                <c:pt idx="3">
                  <c:v>-1299.800000</c:v>
                </c:pt>
                <c:pt idx="4">
                  <c:v>-213.400000</c:v>
                </c:pt>
                <c:pt idx="5">
                  <c:v>-328.500000</c:v>
                </c:pt>
                <c:pt idx="6">
                  <c:v>191.600000</c:v>
                </c:pt>
                <c:pt idx="7">
                  <c:v>-495.000000</c:v>
                </c:pt>
                <c:pt idx="8">
                  <c:v>-737.000000</c:v>
                </c:pt>
                <c:pt idx="9">
                  <c:v>-874.070000</c:v>
                </c:pt>
                <c:pt idx="10">
                  <c:v>-1295.200000</c:v>
                </c:pt>
                <c:pt idx="11">
                  <c:v>-898.700000</c:v>
                </c:pt>
                <c:pt idx="12">
                  <c:v>-865.900000</c:v>
                </c:pt>
                <c:pt idx="13">
                  <c:v>-581.600000</c:v>
                </c:pt>
                <c:pt idx="14">
                  <c:v>481.000000</c:v>
                </c:pt>
                <c:pt idx="15">
                  <c:v>671.000000</c:v>
                </c:pt>
                <c:pt idx="16">
                  <c:v>-270.000000</c:v>
                </c:pt>
                <c:pt idx="17">
                  <c:v>334.000000</c:v>
                </c:pt>
                <c:pt idx="18">
                  <c:v>461.000000</c:v>
                </c:pt>
                <c:pt idx="19">
                  <c:v>1013.000000</c:v>
                </c:pt>
                <c:pt idx="20">
                  <c:v>-895.000000</c:v>
                </c:pt>
                <c:pt idx="21">
                  <c:v>418.000000</c:v>
                </c:pt>
                <c:pt idx="22">
                  <c:v>1395.000000</c:v>
                </c:pt>
                <c:pt idx="23">
                  <c:v>1868.000000</c:v>
                </c:pt>
              </c:numCache>
            </c:numRef>
          </c:val>
          <c:smooth val="0"/>
        </c:ser>
        <c:ser>
          <c:idx val="1"/>
          <c:order val="1"/>
          <c:tx>
            <c:strRef>
              <c:f>'Cash Flow - Cash Flow quarterly'!$K$3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'Cash Flow - Cash Flow quarterly'!$B$4:$B$28</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
                </c:pt>
              </c:strCache>
            </c:strRef>
          </c:cat>
          <c:val>
            <c:numRef>
              <c:f>'Cash Flow - Cash Flow quarterly'!$K$4:$K$28</c:f>
              <c:numCache>
                <c:ptCount val="2"/>
                <c:pt idx="23">
                  <c:v>696.500000</c:v>
                </c:pt>
                <c:pt idx="24">
                  <c:v>1211.711457</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2000"/>
        <c:minorUnit val="1000"/>
      </c:valAx>
      <c:spPr>
        <a:noFill/>
        <a:ln w="12700" cap="flat">
          <a:noFill/>
          <a:miter lim="400000"/>
        </a:ln>
        <a:effectLst/>
      </c:spPr>
    </c:plotArea>
    <c:legend>
      <c:legendPos val="r"/>
      <c:layout>
        <c:manualLayout>
          <c:xMode val="edge"/>
          <c:yMode val="edge"/>
          <c:x val="0.312171"/>
          <c:y val="0.0882432"/>
          <c:w val="0.375658"/>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51623"/>
          <c:y val="0.0426778"/>
          <c:w val="0.84073"/>
          <c:h val="0.886395"/>
        </c:manualLayout>
      </c:layout>
      <c:lineChart>
        <c:grouping val="standard"/>
        <c:varyColors val="0"/>
        <c:ser>
          <c:idx val="0"/>
          <c:order val="0"/>
          <c:tx>
            <c:strRef>
              <c:f>'Balance sheet - Balance sheet'!$K$3</c:f>
              <c:strCache>
                <c:ptCount val="1"/>
                <c:pt idx="0">
                  <c:v>Net cash</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'Balance sheet - Balance sheet'!$B$4:$B$28</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
                </c:pt>
              </c:strCache>
            </c:strRef>
          </c:cat>
          <c:val>
            <c:numRef>
              <c:f>'Balance sheet - Balance sheet'!$K$4:$K$28</c:f>
              <c:numCache>
                <c:ptCount val="24"/>
                <c:pt idx="0">
                  <c:v>-3730.000000</c:v>
                </c:pt>
                <c:pt idx="1">
                  <c:v>-4551.400000</c:v>
                </c:pt>
                <c:pt idx="2">
                  <c:v>-4761.000000</c:v>
                </c:pt>
                <c:pt idx="3">
                  <c:v>-5740.100000</c:v>
                </c:pt>
                <c:pt idx="4">
                  <c:v>-6737.300000</c:v>
                </c:pt>
                <c:pt idx="5">
                  <c:v>-6065.700000</c:v>
                </c:pt>
                <c:pt idx="6">
                  <c:v>-6816.800000</c:v>
                </c:pt>
                <c:pt idx="7">
                  <c:v>-13356.800000</c:v>
                </c:pt>
                <c:pt idx="8">
                  <c:v>-14878.500000</c:v>
                </c:pt>
                <c:pt idx="9">
                  <c:v>-16424.100000</c:v>
                </c:pt>
                <c:pt idx="10">
                  <c:v>-18399.000000</c:v>
                </c:pt>
                <c:pt idx="11">
                  <c:v>-19655.000000</c:v>
                </c:pt>
                <c:pt idx="12">
                  <c:v>-18885.000000</c:v>
                </c:pt>
                <c:pt idx="13">
                  <c:v>-20406.600000</c:v>
                </c:pt>
                <c:pt idx="14">
                  <c:v>-20441.000000</c:v>
                </c:pt>
                <c:pt idx="15">
                  <c:v>-19741.000000</c:v>
                </c:pt>
                <c:pt idx="16">
                  <c:v>-20677.000000</c:v>
                </c:pt>
                <c:pt idx="17">
                  <c:v>-19767.000000</c:v>
                </c:pt>
                <c:pt idx="18">
                  <c:v>-19975.000000</c:v>
                </c:pt>
                <c:pt idx="19">
                  <c:v>-19931.000000</c:v>
                </c:pt>
                <c:pt idx="20">
                  <c:v>-18438.000000</c:v>
                </c:pt>
                <c:pt idx="21">
                  <c:v>-18139.000000</c:v>
                </c:pt>
                <c:pt idx="22">
                  <c:v>-13612.000000</c:v>
                </c:pt>
                <c:pt idx="23">
                  <c:v>-9689.000000</c:v>
                </c:pt>
              </c:numCache>
            </c:numRef>
          </c:val>
          <c:smooth val="0"/>
        </c:ser>
        <c:ser>
          <c:idx val="1"/>
          <c:order val="1"/>
          <c:tx>
            <c:strRef>
              <c:f>'Balance sheet - Balance sheet'!$L$3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'Balance sheet - Balance sheet'!$B$4:$B$28</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
                </c:pt>
              </c:strCache>
            </c:strRef>
          </c:cat>
          <c:val>
            <c:numRef>
              <c:f>'Balance sheet - Balance sheet'!$L$4:$L$28</c:f>
              <c:numCache>
                <c:ptCount val="2"/>
                <c:pt idx="23">
                  <c:v>-9689.000000</c:v>
                </c:pt>
                <c:pt idx="24">
                  <c:v>-6104.910419</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5500"/>
        <c:minorUnit val="2750"/>
      </c:valAx>
      <c:spPr>
        <a:noFill/>
        <a:ln w="12700" cap="flat">
          <a:noFill/>
          <a:miter lim="400000"/>
        </a:ln>
        <a:effectLst/>
      </c:spPr>
    </c:plotArea>
    <c:legend>
      <c:legendPos val="r"/>
      <c:layout>
        <c:manualLayout>
          <c:xMode val="edge"/>
          <c:yMode val="edge"/>
          <c:x val="0.501188"/>
          <c:y val="0.0882432"/>
          <c:w val="0.230451"/>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984981"/>
          <c:y val="0.0426778"/>
          <c:w val="0.893209"/>
          <c:h val="0.886395"/>
        </c:manualLayout>
      </c:layout>
      <c:lineChart>
        <c:grouping val="standard"/>
        <c:varyColors val="0"/>
        <c:ser>
          <c:idx val="0"/>
          <c:order val="0"/>
          <c:tx>
            <c:strRef>
              <c:f>'Share price - TSLA'!$D$3</c:f>
              <c:strCache>
                <c:ptCount val="1"/>
                <c:pt idx="0">
                  <c:v>TSLA</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'Share price - TSLA'!$B$16:$B$89</c:f>
              <c:strCache>
                <c:ptCount val="74"/>
                <c:pt idx="0">
                  <c:v>2015</c:v>
                </c:pt>
                <c:pt idx="1">
                  <c:v/>
                </c:pt>
                <c:pt idx="2">
                  <c:v/>
                </c:pt>
                <c:pt idx="3">
                  <c:v/>
                </c:pt>
                <c:pt idx="4">
                  <c:v/>
                </c:pt>
                <c:pt idx="5">
                  <c:v/>
                </c:pt>
                <c:pt idx="6">
                  <c:v/>
                </c:pt>
                <c:pt idx="7">
                  <c:v/>
                </c:pt>
                <c:pt idx="8">
                  <c:v/>
                </c:pt>
                <c:pt idx="9">
                  <c:v/>
                </c:pt>
                <c:pt idx="10">
                  <c:v/>
                </c:pt>
                <c:pt idx="11">
                  <c:v/>
                </c:pt>
                <c:pt idx="12">
                  <c:v>2016</c:v>
                </c:pt>
                <c:pt idx="13">
                  <c:v/>
                </c:pt>
                <c:pt idx="14">
                  <c:v/>
                </c:pt>
                <c:pt idx="15">
                  <c:v/>
                </c:pt>
                <c:pt idx="16">
                  <c:v/>
                </c:pt>
                <c:pt idx="17">
                  <c:v/>
                </c:pt>
                <c:pt idx="18">
                  <c:v/>
                </c:pt>
                <c:pt idx="19">
                  <c:v/>
                </c:pt>
                <c:pt idx="20">
                  <c:v/>
                </c:pt>
                <c:pt idx="21">
                  <c:v/>
                </c:pt>
                <c:pt idx="22">
                  <c:v/>
                </c:pt>
                <c:pt idx="23">
                  <c:v/>
                </c:pt>
                <c:pt idx="24">
                  <c:v>2017</c:v>
                </c:pt>
                <c:pt idx="25">
                  <c:v/>
                </c:pt>
                <c:pt idx="26">
                  <c:v/>
                </c:pt>
                <c:pt idx="27">
                  <c:v/>
                </c:pt>
                <c:pt idx="28">
                  <c:v/>
                </c:pt>
                <c:pt idx="29">
                  <c:v/>
                </c:pt>
                <c:pt idx="30">
                  <c:v/>
                </c:pt>
                <c:pt idx="31">
                  <c:v/>
                </c:pt>
                <c:pt idx="32">
                  <c:v/>
                </c:pt>
                <c:pt idx="33">
                  <c:v/>
                </c:pt>
                <c:pt idx="34">
                  <c:v/>
                </c:pt>
                <c:pt idx="35">
                  <c:v/>
                </c:pt>
                <c:pt idx="36">
                  <c:v>2018</c:v>
                </c:pt>
                <c:pt idx="37">
                  <c:v/>
                </c:pt>
                <c:pt idx="38">
                  <c:v/>
                </c:pt>
                <c:pt idx="39">
                  <c:v/>
                </c:pt>
                <c:pt idx="40">
                  <c:v/>
                </c:pt>
                <c:pt idx="41">
                  <c:v/>
                </c:pt>
                <c:pt idx="42">
                  <c:v/>
                </c:pt>
                <c:pt idx="43">
                  <c:v/>
                </c:pt>
                <c:pt idx="44">
                  <c:v/>
                </c:pt>
                <c:pt idx="45">
                  <c:v/>
                </c:pt>
                <c:pt idx="46">
                  <c:v/>
                </c:pt>
                <c:pt idx="47">
                  <c:v/>
                </c:pt>
                <c:pt idx="48">
                  <c:v>2019</c:v>
                </c:pt>
                <c:pt idx="49">
                  <c:v/>
                </c:pt>
                <c:pt idx="50">
                  <c:v/>
                </c:pt>
                <c:pt idx="51">
                  <c:v/>
                </c:pt>
                <c:pt idx="52">
                  <c:v/>
                </c:pt>
                <c:pt idx="53">
                  <c:v/>
                </c:pt>
                <c:pt idx="54">
                  <c:v/>
                </c:pt>
                <c:pt idx="55">
                  <c:v/>
                </c:pt>
                <c:pt idx="56">
                  <c:v/>
                </c:pt>
                <c:pt idx="57">
                  <c:v/>
                </c:pt>
                <c:pt idx="58">
                  <c:v/>
                </c:pt>
                <c:pt idx="59">
                  <c:v/>
                </c:pt>
                <c:pt idx="60">
                  <c:v>2020</c:v>
                </c:pt>
                <c:pt idx="61">
                  <c:v/>
                </c:pt>
                <c:pt idx="62">
                  <c:v/>
                </c:pt>
                <c:pt idx="63">
                  <c:v/>
                </c:pt>
                <c:pt idx="64">
                  <c:v/>
                </c:pt>
                <c:pt idx="65">
                  <c:v/>
                </c:pt>
                <c:pt idx="66">
                  <c:v/>
                </c:pt>
                <c:pt idx="67">
                  <c:v/>
                </c:pt>
                <c:pt idx="68">
                  <c:v/>
                </c:pt>
                <c:pt idx="69">
                  <c:v/>
                </c:pt>
                <c:pt idx="70">
                  <c:v/>
                </c:pt>
                <c:pt idx="71">
                  <c:v/>
                </c:pt>
                <c:pt idx="72">
                  <c:v/>
                </c:pt>
                <c:pt idx="73">
                  <c:v/>
                </c:pt>
              </c:strCache>
            </c:strRef>
          </c:cat>
          <c:val>
            <c:numRef>
              <c:f>'Share price - TSLA'!$D$16:$D$89</c:f>
              <c:numCache>
                <c:ptCount val="73"/>
                <c:pt idx="0">
                  <c:v>40.720000</c:v>
                </c:pt>
                <c:pt idx="1">
                  <c:v>40.670000</c:v>
                </c:pt>
                <c:pt idx="2">
                  <c:v>37.750000</c:v>
                </c:pt>
                <c:pt idx="3">
                  <c:v>45.210000</c:v>
                </c:pt>
                <c:pt idx="4">
                  <c:v>50.160000</c:v>
                </c:pt>
                <c:pt idx="5">
                  <c:v>53.650000</c:v>
                </c:pt>
                <c:pt idx="6">
                  <c:v>53.230000</c:v>
                </c:pt>
                <c:pt idx="7">
                  <c:v>49.810000</c:v>
                </c:pt>
                <c:pt idx="8">
                  <c:v>49.680000</c:v>
                </c:pt>
                <c:pt idx="9">
                  <c:v>41.390000</c:v>
                </c:pt>
                <c:pt idx="10">
                  <c:v>46.050000</c:v>
                </c:pt>
                <c:pt idx="11">
                  <c:v>48.000000</c:v>
                </c:pt>
                <c:pt idx="12">
                  <c:v>38.240000</c:v>
                </c:pt>
                <c:pt idx="13">
                  <c:v>38.390000</c:v>
                </c:pt>
                <c:pt idx="14">
                  <c:v>45.950000</c:v>
                </c:pt>
                <c:pt idx="15">
                  <c:v>48.150000</c:v>
                </c:pt>
                <c:pt idx="16">
                  <c:v>44.650000</c:v>
                </c:pt>
                <c:pt idx="17">
                  <c:v>42.460000</c:v>
                </c:pt>
                <c:pt idx="18">
                  <c:v>46.960000</c:v>
                </c:pt>
                <c:pt idx="19">
                  <c:v>42.400000</c:v>
                </c:pt>
                <c:pt idx="20">
                  <c:v>40.810000</c:v>
                </c:pt>
                <c:pt idx="21">
                  <c:v>39.550000</c:v>
                </c:pt>
                <c:pt idx="22">
                  <c:v>37.880000</c:v>
                </c:pt>
                <c:pt idx="23">
                  <c:v>42.740000</c:v>
                </c:pt>
                <c:pt idx="24">
                  <c:v>50.390000</c:v>
                </c:pt>
                <c:pt idx="25">
                  <c:v>50.000000</c:v>
                </c:pt>
                <c:pt idx="26">
                  <c:v>55.660000</c:v>
                </c:pt>
                <c:pt idx="27">
                  <c:v>62.810000</c:v>
                </c:pt>
                <c:pt idx="28">
                  <c:v>68.200000</c:v>
                </c:pt>
                <c:pt idx="29">
                  <c:v>72.320000</c:v>
                </c:pt>
                <c:pt idx="30">
                  <c:v>64.690000</c:v>
                </c:pt>
                <c:pt idx="31">
                  <c:v>71.180000</c:v>
                </c:pt>
                <c:pt idx="32">
                  <c:v>68.220000</c:v>
                </c:pt>
                <c:pt idx="33">
                  <c:v>66.310000</c:v>
                </c:pt>
                <c:pt idx="34">
                  <c:v>61.770000</c:v>
                </c:pt>
                <c:pt idx="35">
                  <c:v>62.270000</c:v>
                </c:pt>
                <c:pt idx="36">
                  <c:v>70.860000</c:v>
                </c:pt>
                <c:pt idx="37">
                  <c:v>68.610000</c:v>
                </c:pt>
                <c:pt idx="38">
                  <c:v>53.230000</c:v>
                </c:pt>
                <c:pt idx="39">
                  <c:v>58.780000</c:v>
                </c:pt>
                <c:pt idx="40">
                  <c:v>56.950000</c:v>
                </c:pt>
                <c:pt idx="41">
                  <c:v>68.590000</c:v>
                </c:pt>
                <c:pt idx="42">
                  <c:v>59.630000</c:v>
                </c:pt>
                <c:pt idx="43">
                  <c:v>60.330000</c:v>
                </c:pt>
                <c:pt idx="44">
                  <c:v>52.950000</c:v>
                </c:pt>
                <c:pt idx="45">
                  <c:v>67.460000</c:v>
                </c:pt>
                <c:pt idx="46">
                  <c:v>70.100000</c:v>
                </c:pt>
                <c:pt idx="47">
                  <c:v>66.560000</c:v>
                </c:pt>
                <c:pt idx="48">
                  <c:v>61.400000</c:v>
                </c:pt>
                <c:pt idx="49">
                  <c:v>63.980000</c:v>
                </c:pt>
                <c:pt idx="50">
                  <c:v>55.970000</c:v>
                </c:pt>
                <c:pt idx="51">
                  <c:v>47.740000</c:v>
                </c:pt>
                <c:pt idx="52">
                  <c:v>37.030000</c:v>
                </c:pt>
                <c:pt idx="53">
                  <c:v>44.690000</c:v>
                </c:pt>
                <c:pt idx="54">
                  <c:v>48.320000</c:v>
                </c:pt>
                <c:pt idx="55">
                  <c:v>45.120000</c:v>
                </c:pt>
                <c:pt idx="56">
                  <c:v>48.170000</c:v>
                </c:pt>
                <c:pt idx="57">
                  <c:v>62.980000</c:v>
                </c:pt>
                <c:pt idx="58">
                  <c:v>65.990000</c:v>
                </c:pt>
                <c:pt idx="59">
                  <c:v>83.670000</c:v>
                </c:pt>
                <c:pt idx="60">
                  <c:v>130.110000</c:v>
                </c:pt>
                <c:pt idx="61">
                  <c:v>133.600000</c:v>
                </c:pt>
                <c:pt idx="62">
                  <c:v>104.800000</c:v>
                </c:pt>
                <c:pt idx="63">
                  <c:v>156.380000</c:v>
                </c:pt>
                <c:pt idx="64">
                  <c:v>167.000000</c:v>
                </c:pt>
                <c:pt idx="65">
                  <c:v>215.960000</c:v>
                </c:pt>
                <c:pt idx="66">
                  <c:v>286.150000</c:v>
                </c:pt>
                <c:pt idx="67">
                  <c:v>498.320000</c:v>
                </c:pt>
                <c:pt idx="68">
                  <c:v>429.010010</c:v>
                </c:pt>
                <c:pt idx="69">
                  <c:v>388.040009</c:v>
                </c:pt>
                <c:pt idx="70">
                  <c:v>567.599976</c:v>
                </c:pt>
                <c:pt idx="71">
                  <c:v>705.669983</c:v>
                </c:pt>
                <c:pt idx="72">
                  <c:v>793.530029</c:v>
                </c:pt>
              </c:numCache>
            </c:numRef>
          </c:val>
          <c:smooth val="0"/>
        </c:ser>
        <c:ser>
          <c:idx val="1"/>
          <c:order val="1"/>
          <c:tx>
            <c:strRef>
              <c:f>'Share price - TSLA'!$E$3</c:f>
              <c:strCache>
                <c:ptCount val="1"/>
                <c:pt idx="0">
                  <c:v>Target</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'Share price - TSLA'!$B$16:$B$89</c:f>
              <c:strCache>
                <c:ptCount val="74"/>
                <c:pt idx="0">
                  <c:v>2015</c:v>
                </c:pt>
                <c:pt idx="1">
                  <c:v/>
                </c:pt>
                <c:pt idx="2">
                  <c:v/>
                </c:pt>
                <c:pt idx="3">
                  <c:v/>
                </c:pt>
                <c:pt idx="4">
                  <c:v/>
                </c:pt>
                <c:pt idx="5">
                  <c:v/>
                </c:pt>
                <c:pt idx="6">
                  <c:v/>
                </c:pt>
                <c:pt idx="7">
                  <c:v/>
                </c:pt>
                <c:pt idx="8">
                  <c:v/>
                </c:pt>
                <c:pt idx="9">
                  <c:v/>
                </c:pt>
                <c:pt idx="10">
                  <c:v/>
                </c:pt>
                <c:pt idx="11">
                  <c:v/>
                </c:pt>
                <c:pt idx="12">
                  <c:v>2016</c:v>
                </c:pt>
                <c:pt idx="13">
                  <c:v/>
                </c:pt>
                <c:pt idx="14">
                  <c:v/>
                </c:pt>
                <c:pt idx="15">
                  <c:v/>
                </c:pt>
                <c:pt idx="16">
                  <c:v/>
                </c:pt>
                <c:pt idx="17">
                  <c:v/>
                </c:pt>
                <c:pt idx="18">
                  <c:v/>
                </c:pt>
                <c:pt idx="19">
                  <c:v/>
                </c:pt>
                <c:pt idx="20">
                  <c:v/>
                </c:pt>
                <c:pt idx="21">
                  <c:v/>
                </c:pt>
                <c:pt idx="22">
                  <c:v/>
                </c:pt>
                <c:pt idx="23">
                  <c:v/>
                </c:pt>
                <c:pt idx="24">
                  <c:v>2017</c:v>
                </c:pt>
                <c:pt idx="25">
                  <c:v/>
                </c:pt>
                <c:pt idx="26">
                  <c:v/>
                </c:pt>
                <c:pt idx="27">
                  <c:v/>
                </c:pt>
                <c:pt idx="28">
                  <c:v/>
                </c:pt>
                <c:pt idx="29">
                  <c:v/>
                </c:pt>
                <c:pt idx="30">
                  <c:v/>
                </c:pt>
                <c:pt idx="31">
                  <c:v/>
                </c:pt>
                <c:pt idx="32">
                  <c:v/>
                </c:pt>
                <c:pt idx="33">
                  <c:v/>
                </c:pt>
                <c:pt idx="34">
                  <c:v/>
                </c:pt>
                <c:pt idx="35">
                  <c:v/>
                </c:pt>
                <c:pt idx="36">
                  <c:v>2018</c:v>
                </c:pt>
                <c:pt idx="37">
                  <c:v/>
                </c:pt>
                <c:pt idx="38">
                  <c:v/>
                </c:pt>
                <c:pt idx="39">
                  <c:v/>
                </c:pt>
                <c:pt idx="40">
                  <c:v/>
                </c:pt>
                <c:pt idx="41">
                  <c:v/>
                </c:pt>
                <c:pt idx="42">
                  <c:v/>
                </c:pt>
                <c:pt idx="43">
                  <c:v/>
                </c:pt>
                <c:pt idx="44">
                  <c:v/>
                </c:pt>
                <c:pt idx="45">
                  <c:v/>
                </c:pt>
                <c:pt idx="46">
                  <c:v/>
                </c:pt>
                <c:pt idx="47">
                  <c:v/>
                </c:pt>
                <c:pt idx="48">
                  <c:v>2019</c:v>
                </c:pt>
                <c:pt idx="49">
                  <c:v/>
                </c:pt>
                <c:pt idx="50">
                  <c:v/>
                </c:pt>
                <c:pt idx="51">
                  <c:v/>
                </c:pt>
                <c:pt idx="52">
                  <c:v/>
                </c:pt>
                <c:pt idx="53">
                  <c:v/>
                </c:pt>
                <c:pt idx="54">
                  <c:v/>
                </c:pt>
                <c:pt idx="55">
                  <c:v/>
                </c:pt>
                <c:pt idx="56">
                  <c:v/>
                </c:pt>
                <c:pt idx="57">
                  <c:v/>
                </c:pt>
                <c:pt idx="58">
                  <c:v/>
                </c:pt>
                <c:pt idx="59">
                  <c:v/>
                </c:pt>
                <c:pt idx="60">
                  <c:v>2020</c:v>
                </c:pt>
                <c:pt idx="61">
                  <c:v/>
                </c:pt>
                <c:pt idx="62">
                  <c:v/>
                </c:pt>
                <c:pt idx="63">
                  <c:v/>
                </c:pt>
                <c:pt idx="64">
                  <c:v/>
                </c:pt>
                <c:pt idx="65">
                  <c:v/>
                </c:pt>
                <c:pt idx="66">
                  <c:v/>
                </c:pt>
                <c:pt idx="67">
                  <c:v/>
                </c:pt>
                <c:pt idx="68">
                  <c:v/>
                </c:pt>
                <c:pt idx="69">
                  <c:v/>
                </c:pt>
                <c:pt idx="70">
                  <c:v/>
                </c:pt>
                <c:pt idx="71">
                  <c:v/>
                </c:pt>
                <c:pt idx="72">
                  <c:v/>
                </c:pt>
                <c:pt idx="73">
                  <c:v/>
                </c:pt>
              </c:strCache>
            </c:strRef>
          </c:cat>
          <c:val>
            <c:numRef>
              <c:f>'Share price - TSLA'!$E$16:$E$89</c:f>
              <c:numCache>
                <c:ptCount val="11"/>
                <c:pt idx="63">
                  <c:v>200.000000</c:v>
                </c:pt>
                <c:pt idx="64">
                  <c:v>200.000000</c:v>
                </c:pt>
                <c:pt idx="65">
                  <c:v>200.000000</c:v>
                </c:pt>
                <c:pt idx="66">
                  <c:v>399.243474</c:v>
                </c:pt>
                <c:pt idx="67">
                  <c:v>399.243474</c:v>
                </c:pt>
                <c:pt idx="68">
                  <c:v>399.243474</c:v>
                </c:pt>
                <c:pt idx="69">
                  <c:v>448.343982</c:v>
                </c:pt>
                <c:pt idx="70">
                  <c:v>399.243474</c:v>
                </c:pt>
                <c:pt idx="71">
                  <c:v>399.243474</c:v>
                </c:pt>
                <c:pt idx="72">
                  <c:v>433.483774</c:v>
                </c:pt>
                <c:pt idx="73">
                  <c:v>433.483774</c:v>
                </c:pt>
              </c:numCache>
            </c:numRef>
          </c:val>
          <c:smooth val="0"/>
        </c:ser>
        <c:marker val="1"/>
        <c:axId val="2094734552"/>
        <c:axId val="2094734553"/>
      </c:lineChart>
      <c:catAx>
        <c:axId val="2094734552"/>
        <c:scaling>
          <c:orientation val="minMax"/>
        </c:scaling>
        <c:delete val="0"/>
        <c:axPos val="b"/>
        <c:numFmt formatCode="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200"/>
        <c:minorUnit val="100"/>
      </c:valAx>
      <c:spPr>
        <a:noFill/>
        <a:ln w="12700" cap="flat">
          <a:noFill/>
          <a:miter lim="400000"/>
        </a:ln>
        <a:effectLst/>
      </c:spPr>
    </c:plotArea>
    <c:legend>
      <c:legendPos val="r"/>
      <c:layout>
        <c:manualLayout>
          <c:xMode val="edge"/>
          <c:yMode val="edge"/>
          <c:x val="0.358174"/>
          <c:y val="0.0882432"/>
          <c:w val="0.331271"/>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5133"/>
          <c:y val="0.0426778"/>
          <c:w val="0.84367"/>
          <c:h val="0.886395"/>
        </c:manualLayout>
      </c:layout>
      <c:barChart>
        <c:barDir val="col"/>
        <c:grouping val="clustered"/>
        <c:varyColors val="0"/>
        <c:ser>
          <c:idx val="0"/>
          <c:order val="0"/>
          <c:tx>
            <c:strRef>
              <c:f>'Cash Flow - Cash Flow quarterly'!$L$3</c:f>
              <c:strCache>
                <c:ptCount val="1"/>
                <c:pt idx="0">
                  <c:v>Capital paid (raised)</c:v>
                </c:pt>
              </c:strCache>
            </c:strRef>
          </c:tx>
          <c:spPr>
            <a:solidFill>
              <a:schemeClr val="accent1"/>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0"/>
            <c:showCatName val="0"/>
            <c:showSerName val="0"/>
            <c:showPercent val="0"/>
            <c:showBubbleSize val="0"/>
            <c:showLeaderLines val="0"/>
          </c:dLbls>
          <c:cat>
            <c:strRef>
              <c:f>'Cash Flow - Cash Flow quarterly'!$B$4:$B$28</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
                </c:pt>
              </c:strCache>
            </c:strRef>
          </c:cat>
          <c:val>
            <c:numRef>
              <c:f>'Cash Flow - Cash Flow quarterly'!$L$4:$L$28</c:f>
              <c:numCache>
                <c:ptCount val="25"/>
                <c:pt idx="0">
                  <c:v>-186.000000</c:v>
                </c:pt>
                <c:pt idx="1">
                  <c:v>-405.000000</c:v>
                </c:pt>
                <c:pt idx="2">
                  <c:v>-1299.000000</c:v>
                </c:pt>
                <c:pt idx="3">
                  <c:v>-1524.000000</c:v>
                </c:pt>
                <c:pt idx="4">
                  <c:v>-2239.400000</c:v>
                </c:pt>
                <c:pt idx="5">
                  <c:v>-4215.900000</c:v>
                </c:pt>
                <c:pt idx="6">
                  <c:v>-3895.100000</c:v>
                </c:pt>
                <c:pt idx="7">
                  <c:v>-5268.100000</c:v>
                </c:pt>
                <c:pt idx="8">
                  <c:v>-6867.100000</c:v>
                </c:pt>
                <c:pt idx="9">
                  <c:v>-7295.800000</c:v>
                </c:pt>
                <c:pt idx="10">
                  <c:v>-9397.300000</c:v>
                </c:pt>
                <c:pt idx="11">
                  <c:v>-9683.100000</c:v>
                </c:pt>
                <c:pt idx="12">
                  <c:v>-10054.700000</c:v>
                </c:pt>
                <c:pt idx="13">
                  <c:v>-10453.700000</c:v>
                </c:pt>
                <c:pt idx="14">
                  <c:v>-10368.700000</c:v>
                </c:pt>
                <c:pt idx="15">
                  <c:v>-10256.700000</c:v>
                </c:pt>
                <c:pt idx="16">
                  <c:v>-9603.700000</c:v>
                </c:pt>
                <c:pt idx="17">
                  <c:v>-11746.700000</c:v>
                </c:pt>
                <c:pt idx="18">
                  <c:v>-11864.700000</c:v>
                </c:pt>
                <c:pt idx="19">
                  <c:v>-11785.700000</c:v>
                </c:pt>
                <c:pt idx="20">
                  <c:v>-14493.700000</c:v>
                </c:pt>
                <c:pt idx="21">
                  <c:v>-14616.700000</c:v>
                </c:pt>
                <c:pt idx="22">
                  <c:v>-19066.700000</c:v>
                </c:pt>
                <c:pt idx="23">
                  <c:v>-21758.700000</c:v>
                </c:pt>
                <c:pt idx="24">
                  <c:v>-16911.854172</c:v>
                </c:pt>
              </c:numCache>
            </c:numRef>
          </c:val>
        </c:ser>
        <c:gapWidth val="40"/>
        <c:overlap val="-10"/>
        <c:axId val="2094734552"/>
        <c:axId val="2094734553"/>
      </c:bar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min val="-22500"/>
        </c:scaling>
        <c:delete val="0"/>
        <c:axPos val="l"/>
        <c:majorGridlines>
          <c:spPr>
            <a:ln w="1270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min"/>
        <c:crossBetween val="between"/>
        <c:majorUnit val="5625"/>
        <c:minorUnit val="2812.5"/>
      </c:valAx>
      <c:spPr>
        <a:noFill/>
        <a:ln w="12700" cap="flat">
          <a:noFill/>
          <a:miter lim="400000"/>
        </a:ln>
        <a:effectLst/>
      </c:spPr>
    </c:plotArea>
    <c:legend>
      <c:legendPos val="r"/>
      <c:layout>
        <c:manualLayout>
          <c:xMode val="edge"/>
          <c:yMode val="edge"/>
          <c:x val="0.174121"/>
          <c:y val="0.766273"/>
          <c:w val="0.523011"/>
          <c:h val="0.0676778"/>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5.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4483"/>
          <c:y val="0.0426778"/>
          <c:w val="0.846973"/>
          <c:h val="0.886395"/>
        </c:manualLayout>
      </c:layout>
      <c:lineChart>
        <c:grouping val="standard"/>
        <c:varyColors val="0"/>
        <c:ser>
          <c:idx val="0"/>
          <c:order val="0"/>
          <c:tx>
            <c:strRef>
              <c:f>'Sales - Profit quarterly'!$D$3</c:f>
              <c:strCache>
                <c:ptCount val="1"/>
                <c:pt idx="0">
                  <c:v>Sales</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'Sales - Profit quarterly'!$B$4:$B$31</c:f>
              <c:strCache>
                <c:ptCount val="28"/>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2021</c:v>
                </c:pt>
                <c:pt idx="25">
                  <c:v/>
                </c:pt>
                <c:pt idx="26">
                  <c:v/>
                </c:pt>
                <c:pt idx="27">
                  <c:v/>
                </c:pt>
              </c:strCache>
            </c:strRef>
          </c:cat>
          <c:val>
            <c:numRef>
              <c:f>'Sales - Profit quarterly'!$D$4:$D$31</c:f>
              <c:numCache>
                <c:ptCount val="24"/>
                <c:pt idx="0">
                  <c:v>940.000000</c:v>
                </c:pt>
                <c:pt idx="1">
                  <c:v>955.000000</c:v>
                </c:pt>
                <c:pt idx="2">
                  <c:v>937.000000</c:v>
                </c:pt>
                <c:pt idx="3">
                  <c:v>1214.000000</c:v>
                </c:pt>
                <c:pt idx="4">
                  <c:v>1147.000000</c:v>
                </c:pt>
                <c:pt idx="5">
                  <c:v>1270.000000</c:v>
                </c:pt>
                <c:pt idx="6">
                  <c:v>2298.000000</c:v>
                </c:pt>
                <c:pt idx="7">
                  <c:v>2285.000000</c:v>
                </c:pt>
                <c:pt idx="8">
                  <c:v>2696.000000</c:v>
                </c:pt>
                <c:pt idx="9">
                  <c:v>2789.000000</c:v>
                </c:pt>
                <c:pt idx="10">
                  <c:v>2985.000000</c:v>
                </c:pt>
                <c:pt idx="11">
                  <c:v>3288.000000</c:v>
                </c:pt>
                <c:pt idx="12">
                  <c:v>3405.000000</c:v>
                </c:pt>
                <c:pt idx="13">
                  <c:v>4002.000000</c:v>
                </c:pt>
                <c:pt idx="14">
                  <c:v>6824.000000</c:v>
                </c:pt>
                <c:pt idx="15">
                  <c:v>6143.000000</c:v>
                </c:pt>
                <c:pt idx="16">
                  <c:v>5451.000000</c:v>
                </c:pt>
                <c:pt idx="17">
                  <c:v>6350.000000</c:v>
                </c:pt>
                <c:pt idx="18">
                  <c:v>6303.000000</c:v>
                </c:pt>
                <c:pt idx="19">
                  <c:v>7384.000000</c:v>
                </c:pt>
                <c:pt idx="20">
                  <c:v>5985.000000</c:v>
                </c:pt>
                <c:pt idx="21">
                  <c:v>6036.000000</c:v>
                </c:pt>
                <c:pt idx="22">
                  <c:v>8771.000000</c:v>
                </c:pt>
                <c:pt idx="23">
                  <c:v>10744.000000</c:v>
                </c:pt>
              </c:numCache>
            </c:numRef>
          </c:val>
          <c:smooth val="0"/>
        </c:ser>
        <c:ser>
          <c:idx val="1"/>
          <c:order val="1"/>
          <c:tx>
            <c:strRef>
              <c:f>'Sales - Profit quarterly'!$E$3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'Sales - Profit quarterly'!$B$4:$B$31</c:f>
              <c:strCache>
                <c:ptCount val="28"/>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2021</c:v>
                </c:pt>
                <c:pt idx="25">
                  <c:v/>
                </c:pt>
                <c:pt idx="26">
                  <c:v/>
                </c:pt>
                <c:pt idx="27">
                  <c:v/>
                </c:pt>
              </c:strCache>
            </c:strRef>
          </c:cat>
          <c:val>
            <c:numRef>
              <c:f>'Sales - Profit quarterly'!$E$4:$E$31</c:f>
              <c:numCache>
                <c:ptCount val="8"/>
                <c:pt idx="20">
                  <c:v>5723.550000</c:v>
                </c:pt>
                <c:pt idx="21">
                  <c:v>5397.500000</c:v>
                </c:pt>
                <c:pt idx="22">
                  <c:v>6618.150000</c:v>
                </c:pt>
                <c:pt idx="23">
                  <c:v>9209.550000</c:v>
                </c:pt>
                <c:pt idx="24">
                  <c:v>10529.120000</c:v>
                </c:pt>
                <c:pt idx="25">
                  <c:v>11055.576000</c:v>
                </c:pt>
                <c:pt idx="26">
                  <c:v>11608.354800</c:v>
                </c:pt>
                <c:pt idx="27">
                  <c:v>12769.190280</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3500"/>
        <c:minorUnit val="1750"/>
      </c:valAx>
      <c:spPr>
        <a:noFill/>
        <a:ln w="12700" cap="flat">
          <a:noFill/>
          <a:miter lim="400000"/>
        </a:ln>
        <a:effectLst/>
      </c:spPr>
    </c:plotArea>
    <c:legend>
      <c:legendPos val="r"/>
      <c:layout>
        <c:manualLayout>
          <c:xMode val="edge"/>
          <c:yMode val="edge"/>
          <c:x val="0.353121"/>
          <c:y val="0.0989492"/>
          <c:w val="0.239078"/>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6.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41484"/>
          <c:y val="0.0414757"/>
          <c:w val="0.820882"/>
          <c:h val="0.889243"/>
        </c:manualLayout>
      </c:layout>
      <c:lineChart>
        <c:grouping val="standard"/>
        <c:varyColors val="0"/>
        <c:ser>
          <c:idx val="0"/>
          <c:order val="0"/>
          <c:tx>
            <c:strRef>
              <c:f>'Sales - Profit quarterly'!$G$3</c:f>
              <c:strCache>
                <c:ptCount val="1"/>
                <c:pt idx="0">
                  <c:v>Cost ratio </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'Sales - Profit quarterly'!$B$4:$B$28</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2021</c:v>
                </c:pt>
              </c:strCache>
            </c:strRef>
          </c:cat>
          <c:val>
            <c:numRef>
              <c:f>'Sales - Profit quarterly'!$G$4:$G$28</c:f>
              <c:numCache>
                <c:ptCount val="24"/>
                <c:pt idx="0">
                  <c:v>-1.081915</c:v>
                </c:pt>
                <c:pt idx="1">
                  <c:v>-0.711728</c:v>
                </c:pt>
                <c:pt idx="2">
                  <c:v>-1.127535</c:v>
                </c:pt>
                <c:pt idx="3">
                  <c:v>-1.145470</c:v>
                </c:pt>
                <c:pt idx="4">
                  <c:v>-1.109503</c:v>
                </c:pt>
                <c:pt idx="5">
                  <c:v>-1.086598</c:v>
                </c:pt>
                <c:pt idx="6">
                  <c:v>-0.868494</c:v>
                </c:pt>
                <c:pt idx="7">
                  <c:v>-0.952735</c:v>
                </c:pt>
                <c:pt idx="8">
                  <c:v>-1.007418</c:v>
                </c:pt>
                <c:pt idx="9">
                  <c:v>-1.004303</c:v>
                </c:pt>
                <c:pt idx="10">
                  <c:v>-1.090620</c:v>
                </c:pt>
                <c:pt idx="11">
                  <c:v>-1.091606</c:v>
                </c:pt>
                <c:pt idx="12">
                  <c:v>-1.108253</c:v>
                </c:pt>
                <c:pt idx="13">
                  <c:v>-1.064468</c:v>
                </c:pt>
                <c:pt idx="14">
                  <c:v>-0.889068</c:v>
                </c:pt>
                <c:pt idx="15">
                  <c:v>-0.884910</c:v>
                </c:pt>
                <c:pt idx="16">
                  <c:v>-1.036617</c:v>
                </c:pt>
                <c:pt idx="17">
                  <c:v>-0.909291</c:v>
                </c:pt>
                <c:pt idx="18">
                  <c:v>-0.849595</c:v>
                </c:pt>
                <c:pt idx="19">
                  <c:v>-0.838299</c:v>
                </c:pt>
                <c:pt idx="20">
                  <c:v>-0.831746</c:v>
                </c:pt>
                <c:pt idx="21">
                  <c:v>-0.799536</c:v>
                </c:pt>
                <c:pt idx="22">
                  <c:v>-0.798769</c:v>
                </c:pt>
                <c:pt idx="23">
                  <c:v>-0.834605</c:v>
                </c:pt>
              </c:numCache>
            </c:numRef>
          </c:val>
          <c:smooth val="0"/>
        </c:ser>
        <c:ser>
          <c:idx val="1"/>
          <c:order val="1"/>
          <c:tx>
            <c:strRef>
              <c:f>'Sales - Profit quarterly'!$H$3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a:defRPr>
                </a:pPr>
              </a:p>
            </c:txPr>
            <c:dLblPos val="t"/>
            <c:showLegendKey val="0"/>
            <c:showVal val="0"/>
            <c:showCatName val="0"/>
            <c:showSerName val="0"/>
            <c:showPercent val="0"/>
            <c:showBubbleSize val="0"/>
            <c:showLeaderLines val="0"/>
          </c:dLbls>
          <c:cat>
            <c:strRef>
              <c:f>'Sales - Profit quarterly'!$B$4:$B$28</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2021</c:v>
                </c:pt>
              </c:strCache>
            </c:strRef>
          </c:cat>
          <c:val>
            <c:numRef>
              <c:f>'Sales - Profit quarterly'!$H$4:$H$28</c:f>
              <c:numCache>
                <c:ptCount val="2"/>
                <c:pt idx="23">
                  <c:v>-0.834605</c:v>
                </c:pt>
                <c:pt idx="24">
                  <c:v>-0.816164</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max val="-0.5"/>
        </c:scaling>
        <c:delete val="0"/>
        <c:axPos val="l"/>
        <c:majorGridlines>
          <c:spPr>
            <a:ln w="1270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0.175"/>
        <c:minorUnit val="0.0875"/>
      </c:valAx>
      <c:spPr>
        <a:noFill/>
        <a:ln w="12700" cap="flat">
          <a:noFill/>
          <a:miter lim="400000"/>
        </a:ln>
        <a:effectLst/>
      </c:spPr>
    </c:plotArea>
    <c:legend>
      <c:legendPos val="r"/>
      <c:layout>
        <c:manualLayout>
          <c:xMode val="edge"/>
          <c:yMode val="edge"/>
          <c:x val="0.465347"/>
          <c:y val="0.117722"/>
          <c:w val="0.242905"/>
          <c:h val="0.107951"/>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6</xdr:col>
      <xdr:colOff>1185093</xdr:colOff>
      <xdr:row>16</xdr:row>
      <xdr:rowOff>148593</xdr:rowOff>
    </xdr:from>
    <xdr:to>
      <xdr:col>9</xdr:col>
      <xdr:colOff>1170096</xdr:colOff>
      <xdr:row>30</xdr:row>
      <xdr:rowOff>71326</xdr:rowOff>
    </xdr:to>
    <xdr:graphicFrame>
      <xdr:nvGraphicFramePr>
        <xdr:cNvPr id="2" name="Chart 2"/>
        <xdr:cNvGraphicFramePr/>
      </xdr:nvGraphicFramePr>
      <xdr:xfrm>
        <a:off x="5706293" y="4524378"/>
        <a:ext cx="3718804" cy="3487624"/>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10</xdr:col>
      <xdr:colOff>542016</xdr:colOff>
      <xdr:row>16</xdr:row>
      <xdr:rowOff>148593</xdr:rowOff>
    </xdr:from>
    <xdr:to>
      <xdr:col>13</xdr:col>
      <xdr:colOff>793960</xdr:colOff>
      <xdr:row>30</xdr:row>
      <xdr:rowOff>71326</xdr:rowOff>
    </xdr:to>
    <xdr:graphicFrame>
      <xdr:nvGraphicFramePr>
        <xdr:cNvPr id="3" name="Chart 3"/>
        <xdr:cNvGraphicFramePr/>
      </xdr:nvGraphicFramePr>
      <xdr:xfrm>
        <a:off x="10041616" y="4524378"/>
        <a:ext cx="3985745" cy="3487624"/>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6</xdr:col>
      <xdr:colOff>1206828</xdr:colOff>
      <xdr:row>31</xdr:row>
      <xdr:rowOff>224450</xdr:rowOff>
    </xdr:from>
    <xdr:to>
      <xdr:col>9</xdr:col>
      <xdr:colOff>1148362</xdr:colOff>
      <xdr:row>45</xdr:row>
      <xdr:rowOff>170043</xdr:rowOff>
    </xdr:to>
    <xdr:graphicFrame>
      <xdr:nvGraphicFramePr>
        <xdr:cNvPr id="4" name="Chart 4"/>
        <xdr:cNvGraphicFramePr/>
      </xdr:nvGraphicFramePr>
      <xdr:xfrm>
        <a:off x="5728027" y="8419760"/>
        <a:ext cx="3675336" cy="3487624"/>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10</xdr:col>
      <xdr:colOff>439605</xdr:colOff>
      <xdr:row>31</xdr:row>
      <xdr:rowOff>196986</xdr:rowOff>
    </xdr:from>
    <xdr:to>
      <xdr:col>13</xdr:col>
      <xdr:colOff>699267</xdr:colOff>
      <xdr:row>45</xdr:row>
      <xdr:rowOff>142579</xdr:rowOff>
    </xdr:to>
    <xdr:graphicFrame>
      <xdr:nvGraphicFramePr>
        <xdr:cNvPr id="5" name="Chart 5"/>
        <xdr:cNvGraphicFramePr/>
      </xdr:nvGraphicFramePr>
      <xdr:xfrm>
        <a:off x="9939205" y="8392296"/>
        <a:ext cx="3993463" cy="3487624"/>
      </xdr:xfrm>
      <a:graphic xmlns:a="http://schemas.openxmlformats.org/drawingml/2006/main">
        <a:graphicData uri="http://schemas.openxmlformats.org/drawingml/2006/chart">
          <c:chart xmlns:c="http://schemas.openxmlformats.org/drawingml/2006/chart" r:id="rId4"/>
        </a:graphicData>
      </a:graphic>
    </xdr:graphicFrame>
    <xdr:clientData/>
  </xdr:twoCellAnchor>
  <xdr:twoCellAnchor>
    <xdr:from>
      <xdr:col>6</xdr:col>
      <xdr:colOff>1097008</xdr:colOff>
      <xdr:row>2</xdr:row>
      <xdr:rowOff>30509</xdr:rowOff>
    </xdr:from>
    <xdr:to>
      <xdr:col>9</xdr:col>
      <xdr:colOff>1081652</xdr:colOff>
      <xdr:row>15</xdr:row>
      <xdr:rowOff>50397</xdr:rowOff>
    </xdr:to>
    <xdr:graphicFrame>
      <xdr:nvGraphicFramePr>
        <xdr:cNvPr id="6" name="Chart 6"/>
        <xdr:cNvGraphicFramePr/>
      </xdr:nvGraphicFramePr>
      <xdr:xfrm>
        <a:off x="5618208" y="683924"/>
        <a:ext cx="3718445" cy="3487624"/>
      </xdr:xfrm>
      <a:graphic xmlns:a="http://schemas.openxmlformats.org/drawingml/2006/main">
        <a:graphicData uri="http://schemas.openxmlformats.org/drawingml/2006/chart">
          <c:chart xmlns:c="http://schemas.openxmlformats.org/drawingml/2006/chart" r:id="rId5"/>
        </a:graphicData>
      </a:graphic>
    </xdr:graphicFrame>
    <xdr:clientData/>
  </xdr:twoCellAnchor>
  <xdr:twoCellAnchor>
    <xdr:from>
      <xdr:col>10</xdr:col>
      <xdr:colOff>574247</xdr:colOff>
      <xdr:row>1</xdr:row>
      <xdr:rowOff>303658</xdr:rowOff>
    </xdr:from>
    <xdr:to>
      <xdr:col>13</xdr:col>
      <xdr:colOff>761728</xdr:colOff>
      <xdr:row>15</xdr:row>
      <xdr:rowOff>73475</xdr:rowOff>
    </xdr:to>
    <xdr:graphicFrame>
      <xdr:nvGraphicFramePr>
        <xdr:cNvPr id="7" name="Chart 7"/>
        <xdr:cNvGraphicFramePr/>
      </xdr:nvGraphicFramePr>
      <xdr:xfrm>
        <a:off x="10073847" y="605918"/>
        <a:ext cx="3921282" cy="3588708"/>
      </xdr:xfrm>
      <a:graphic xmlns:a="http://schemas.openxmlformats.org/drawingml/2006/main">
        <a:graphicData uri="http://schemas.openxmlformats.org/drawingml/2006/chart">
          <c:chart xmlns:c="http://schemas.openxmlformats.org/drawingml/2006/chart" r:id="rId6"/>
        </a:graphicData>
      </a:graphic>
    </xdr:graphicFrame>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6.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12</v>
      </c>
      <c r="C11" s="3"/>
      <c r="D11" s="3"/>
    </row>
    <row r="12">
      <c r="B12" s="4"/>
      <c r="C12" t="s" s="4">
        <v>13</v>
      </c>
      <c r="D12" t="s" s="5">
        <v>14</v>
      </c>
    </row>
    <row r="13">
      <c r="B13" t="s" s="3">
        <v>24</v>
      </c>
      <c r="C13" s="3"/>
      <c r="D13" s="3"/>
    </row>
    <row r="14">
      <c r="B14" s="4"/>
      <c r="C14" t="s" s="4">
        <v>24</v>
      </c>
      <c r="D14" t="s" s="5">
        <v>25</v>
      </c>
    </row>
    <row r="15">
      <c r="B15" t="s" s="3">
        <v>35</v>
      </c>
      <c r="C15" s="3"/>
      <c r="D15" s="3"/>
    </row>
    <row r="16">
      <c r="B16" s="4"/>
      <c r="C16" t="s" s="4">
        <v>36</v>
      </c>
      <c r="D16" t="s" s="5">
        <v>37</v>
      </c>
    </row>
    <row r="17">
      <c r="B17" t="s" s="3">
        <v>40</v>
      </c>
      <c r="C17" s="3"/>
      <c r="D17" s="3"/>
    </row>
    <row r="18">
      <c r="B18" s="4"/>
      <c r="C18" t="s" s="4">
        <v>41</v>
      </c>
      <c r="D18" t="s" s="5">
        <v>42</v>
      </c>
    </row>
    <row r="19">
      <c r="B19" t="s" s="3">
        <v>66</v>
      </c>
      <c r="C19" s="3"/>
      <c r="D19" s="3"/>
    </row>
    <row r="20">
      <c r="B20" s="4"/>
      <c r="C20" t="s" s="4">
        <v>67</v>
      </c>
      <c r="D20" t="s" s="5">
        <v>68</v>
      </c>
    </row>
  </sheetData>
  <mergeCells count="1">
    <mergeCell ref="B3:D3"/>
  </mergeCells>
  <hyperlinks>
    <hyperlink ref="D10" location="'Sales - Profit quarterly'!R3C2" tooltip="" display="Sales - Profit quarterly"/>
    <hyperlink ref="D12" location="'Cash Flow - Cash Flow quarterly'!R3C2" tooltip="" display="Cash Flow - Cash Flow quarterly"/>
    <hyperlink ref="D14" location="'Balance sheet - Balance sheet'!R3C2" tooltip="" display="Balance sheet - Balance sheet"/>
    <hyperlink ref="D16" location="'Share price - TSLA'!R3C2" tooltip="" display="Share price - TSLA"/>
    <hyperlink ref="D18" location="'Model - Financial model'!R3C2" tooltip="" display="Model - Financial model"/>
    <hyperlink ref="D20" location="'Valuation  - Valuation'!R3C2" tooltip="" display="Valuation  - Valuation"/>
  </hyperlinks>
</worksheet>
</file>

<file path=xl/worksheets/sheet2.xml><?xml version="1.0" encoding="utf-8"?>
<worksheet xmlns:r="http://schemas.openxmlformats.org/officeDocument/2006/relationships" xmlns="http://schemas.openxmlformats.org/spreadsheetml/2006/main">
  <sheetPr>
    <pageSetUpPr fitToPage="1"/>
  </sheetPr>
  <dimension ref="B3:H31"/>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5.5" style="6" customWidth="1"/>
    <col min="2" max="2" width="7.71875" style="6" customWidth="1"/>
    <col min="3" max="8" width="10.8828" style="6" customWidth="1"/>
    <col min="9" max="16384" width="16.3516" style="6" customWidth="1"/>
  </cols>
  <sheetData>
    <row r="1" ht="15" customHeight="1"/>
    <row r="2" ht="27.65" customHeight="1">
      <c r="B2" t="s" s="7">
        <v>5</v>
      </c>
      <c r="C2" s="7"/>
      <c r="D2" s="7"/>
      <c r="E2" s="7"/>
      <c r="F2" s="7"/>
      <c r="G2" s="7"/>
      <c r="H2" s="7"/>
    </row>
    <row r="3" ht="32.25" customHeight="1">
      <c r="B3" t="s" s="8">
        <v>7</v>
      </c>
      <c r="C3" t="s" s="8">
        <v>8</v>
      </c>
      <c r="D3" t="s" s="8">
        <v>4</v>
      </c>
      <c r="E3" t="s" s="8">
        <v>9</v>
      </c>
      <c r="F3" t="s" s="8">
        <v>10</v>
      </c>
      <c r="G3" t="s" s="8">
        <v>11</v>
      </c>
      <c r="H3" t="s" s="8">
        <v>9</v>
      </c>
    </row>
    <row r="4" ht="20.25" customHeight="1">
      <c r="B4" s="9">
        <v>2015</v>
      </c>
      <c r="C4" s="10">
        <v>893</v>
      </c>
      <c r="D4" s="11">
        <v>940</v>
      </c>
      <c r="E4" s="11"/>
      <c r="F4" s="11"/>
      <c r="G4" s="12">
        <f>('Cash Flow - Cash Flow quarterly'!C4+'Cash Flow - Cash Flow quarterly'!D4-D4)/D4</f>
        <v>-1.08191489361702</v>
      </c>
      <c r="H4" s="12"/>
    </row>
    <row r="5" ht="20.05" customHeight="1">
      <c r="B5" s="13"/>
      <c r="C5" s="14">
        <v>878</v>
      </c>
      <c r="D5" s="15">
        <v>955</v>
      </c>
      <c r="E5" s="15"/>
      <c r="F5" s="16">
        <f>D5/D4-1</f>
        <v>0.0159574468085106</v>
      </c>
      <c r="G5" s="16">
        <f>('Cash Flow - Cash Flow quarterly'!C5+'Cash Flow - Cash Flow quarterly'!D5-D5)/D5</f>
        <v>-0.711727748691099</v>
      </c>
      <c r="H5" s="16"/>
    </row>
    <row r="6" ht="20.05" customHeight="1">
      <c r="B6" s="13"/>
      <c r="C6" s="14">
        <v>852.5</v>
      </c>
      <c r="D6" s="15">
        <v>937</v>
      </c>
      <c r="E6" s="15"/>
      <c r="F6" s="16">
        <f>D6/D5-1</f>
        <v>-0.018848167539267</v>
      </c>
      <c r="G6" s="16">
        <f>('Cash Flow - Cash Flow quarterly'!C6+'Cash Flow - Cash Flow quarterly'!D6-D6)/D6</f>
        <v>-1.12753468516542</v>
      </c>
      <c r="H6" s="16"/>
    </row>
    <row r="7" ht="20.05" customHeight="1">
      <c r="B7" s="13"/>
      <c r="C7" s="14">
        <v>1116.9</v>
      </c>
      <c r="D7" s="15">
        <v>1214</v>
      </c>
      <c r="E7" s="15"/>
      <c r="F7" s="16">
        <f>D7/D6-1</f>
        <v>0.295624332977588</v>
      </c>
      <c r="G7" s="16">
        <f>('Cash Flow - Cash Flow quarterly'!C7+'Cash Flow - Cash Flow quarterly'!D7-D7)/D7</f>
        <v>-1.14546952224053</v>
      </c>
      <c r="H7" s="16"/>
    </row>
    <row r="8" ht="20.05" customHeight="1">
      <c r="B8" s="17">
        <v>2016</v>
      </c>
      <c r="C8" s="14">
        <v>1025.97</v>
      </c>
      <c r="D8" s="15">
        <v>1147</v>
      </c>
      <c r="E8" s="15"/>
      <c r="F8" s="16">
        <f>D8/D7-1</f>
        <v>-0.0551894563426689</v>
      </c>
      <c r="G8" s="16">
        <f>('Cash Flow - Cash Flow quarterly'!C8+'Cash Flow - Cash Flow quarterly'!D8-D8)/D8</f>
        <v>-1.10950305143854</v>
      </c>
      <c r="H8" s="16"/>
    </row>
    <row r="9" ht="20.05" customHeight="1">
      <c r="B9" s="13"/>
      <c r="C9" s="14">
        <v>1181.8</v>
      </c>
      <c r="D9" s="15">
        <v>1270</v>
      </c>
      <c r="E9" s="15"/>
      <c r="F9" s="16">
        <f>D9/D8-1</f>
        <v>0.107236268526591</v>
      </c>
      <c r="G9" s="16">
        <f>('Cash Flow - Cash Flow quarterly'!C9+'Cash Flow - Cash Flow quarterly'!D9-D9)/D9</f>
        <v>-1.08659842519685</v>
      </c>
      <c r="H9" s="16"/>
    </row>
    <row r="10" ht="20.05" customHeight="1">
      <c r="B10" s="13"/>
      <c r="C10" s="14">
        <v>2148.6</v>
      </c>
      <c r="D10" s="15">
        <v>2298</v>
      </c>
      <c r="E10" s="15"/>
      <c r="F10" s="16">
        <f>D10/D9-1</f>
        <v>0.809448818897638</v>
      </c>
      <c r="G10" s="16">
        <f>('Cash Flow - Cash Flow quarterly'!C10+'Cash Flow - Cash Flow quarterly'!D10-D10)/D10</f>
        <v>-0.868494342906876</v>
      </c>
      <c r="H10" s="16"/>
    </row>
    <row r="11" ht="20.05" customHeight="1">
      <c r="B11" s="13"/>
      <c r="C11" s="14">
        <v>1994</v>
      </c>
      <c r="D11" s="15">
        <v>2285</v>
      </c>
      <c r="E11" s="15"/>
      <c r="F11" s="16">
        <f>D11/D10-1</f>
        <v>-0.00565709312445605</v>
      </c>
      <c r="G11" s="16">
        <f>('Cash Flow - Cash Flow quarterly'!C11+'Cash Flow - Cash Flow quarterly'!D11-D11)/D11</f>
        <v>-0.9527352297593</v>
      </c>
      <c r="H11" s="16"/>
    </row>
    <row r="12" ht="20.05" customHeight="1">
      <c r="B12" s="17">
        <v>2017</v>
      </c>
      <c r="C12" s="14">
        <v>2289.5</v>
      </c>
      <c r="D12" s="15">
        <v>2696</v>
      </c>
      <c r="E12" s="15"/>
      <c r="F12" s="16">
        <f>D12/D11-1</f>
        <v>0.179868708971554</v>
      </c>
      <c r="G12" s="16">
        <f>('Cash Flow - Cash Flow quarterly'!C12+'Cash Flow - Cash Flow quarterly'!D12-D12)/D12</f>
        <v>-1.00741839762611</v>
      </c>
      <c r="H12" s="16"/>
    </row>
    <row r="13" ht="20.05" customHeight="1">
      <c r="B13" s="13"/>
      <c r="C13" s="14">
        <v>2286.5</v>
      </c>
      <c r="D13" s="15">
        <v>2789</v>
      </c>
      <c r="E13" s="15"/>
      <c r="F13" s="16">
        <f>D13/D12-1</f>
        <v>0.0344955489614243</v>
      </c>
      <c r="G13" s="16">
        <f>('Cash Flow - Cash Flow quarterly'!C13+'Cash Flow - Cash Flow quarterly'!D13-D13)/D13</f>
        <v>-1.0043026174256</v>
      </c>
      <c r="H13" s="16"/>
    </row>
    <row r="14" ht="20.05" customHeight="1">
      <c r="B14" s="13"/>
      <c r="C14" s="14">
        <v>2362.8</v>
      </c>
      <c r="D14" s="15">
        <v>2985</v>
      </c>
      <c r="E14" s="15"/>
      <c r="F14" s="16">
        <f>D14/D13-1</f>
        <v>0.07027608461814271</v>
      </c>
      <c r="G14" s="16">
        <f>('Cash Flow - Cash Flow quarterly'!C14+'Cash Flow - Cash Flow quarterly'!D14-D14)/D14</f>
        <v>-1.09061976549414</v>
      </c>
      <c r="H14" s="16"/>
    </row>
    <row r="15" ht="20.05" customHeight="1">
      <c r="B15" s="13"/>
      <c r="C15" s="14">
        <v>2702</v>
      </c>
      <c r="D15" s="15">
        <v>3288</v>
      </c>
      <c r="E15" s="15"/>
      <c r="F15" s="16">
        <f>D15/D14-1</f>
        <v>0.101507537688442</v>
      </c>
      <c r="G15" s="16">
        <f>('Cash Flow - Cash Flow quarterly'!C15+'Cash Flow - Cash Flow quarterly'!D15-D15)/D15</f>
        <v>-1.09160583941606</v>
      </c>
      <c r="H15" s="16"/>
    </row>
    <row r="16" ht="20.05" customHeight="1">
      <c r="B16" s="17">
        <v>2018</v>
      </c>
      <c r="C16" s="14">
        <v>2735.4</v>
      </c>
      <c r="D16" s="15">
        <v>3405</v>
      </c>
      <c r="E16" s="15"/>
      <c r="F16" s="16">
        <f>D16/D15-1</f>
        <v>0.0355839416058394</v>
      </c>
      <c r="G16" s="16">
        <f>('Cash Flow - Cash Flow quarterly'!C16+'Cash Flow - Cash Flow quarterly'!D16-D16)/D16</f>
        <v>-1.10825256975037</v>
      </c>
      <c r="H16" s="16"/>
    </row>
    <row r="17" ht="20.05" customHeight="1">
      <c r="B17" s="13"/>
      <c r="C17" s="14">
        <v>3357.6</v>
      </c>
      <c r="D17" s="15">
        <v>4002</v>
      </c>
      <c r="E17" s="15"/>
      <c r="F17" s="16">
        <f>D17/D16-1</f>
        <v>0.175330396475771</v>
      </c>
      <c r="G17" s="16">
        <f>('Cash Flow - Cash Flow quarterly'!C17+'Cash Flow - Cash Flow quarterly'!D17-D17)/D17</f>
        <v>-1.06446776611694</v>
      </c>
      <c r="H17" s="16"/>
    </row>
    <row r="18" ht="20.05" customHeight="1">
      <c r="B18" s="13"/>
      <c r="C18" s="14">
        <v>6099</v>
      </c>
      <c r="D18" s="15">
        <v>6824</v>
      </c>
      <c r="E18" s="15"/>
      <c r="F18" s="16">
        <f>D18/D17-1</f>
        <v>0.705147426286857</v>
      </c>
      <c r="G18" s="16">
        <f>('Cash Flow - Cash Flow quarterly'!C18+'Cash Flow - Cash Flow quarterly'!D18-D18)/D18</f>
        <v>-0.889067995310668</v>
      </c>
      <c r="H18" s="16"/>
    </row>
    <row r="19" ht="20.05" customHeight="1">
      <c r="B19" s="13"/>
      <c r="C19" s="14">
        <v>6323</v>
      </c>
      <c r="D19" s="15">
        <v>6143</v>
      </c>
      <c r="E19" s="15"/>
      <c r="F19" s="16">
        <f>D19/D18-1</f>
        <v>-0.09979484173505281</v>
      </c>
      <c r="G19" s="16">
        <f>('Cash Flow - Cash Flow quarterly'!C19+'Cash Flow - Cash Flow quarterly'!D19-D19)/D19</f>
        <v>-0.884909653263878</v>
      </c>
      <c r="H19" s="16"/>
    </row>
    <row r="20" ht="20.05" customHeight="1">
      <c r="B20" s="17">
        <v>2019</v>
      </c>
      <c r="C20" s="14">
        <v>3723.7</v>
      </c>
      <c r="D20" s="15">
        <v>5451</v>
      </c>
      <c r="E20" s="15"/>
      <c r="F20" s="16">
        <f>D20/D19-1</f>
        <v>-0.112648543057138</v>
      </c>
      <c r="G20" s="16">
        <f>('Cash Flow - Cash Flow quarterly'!C20+'Cash Flow - Cash Flow quarterly'!D20-D20)/D20</f>
        <v>-1.03661713447074</v>
      </c>
      <c r="H20" s="16"/>
    </row>
    <row r="21" ht="20.05" customHeight="1">
      <c r="B21" s="13"/>
      <c r="C21" s="14">
        <v>5376</v>
      </c>
      <c r="D21" s="15">
        <v>6350</v>
      </c>
      <c r="E21" s="15"/>
      <c r="F21" s="16">
        <f>D21/D20-1</f>
        <v>0.164923867180334</v>
      </c>
      <c r="G21" s="16">
        <f>('Cash Flow - Cash Flow quarterly'!C21+'Cash Flow - Cash Flow quarterly'!D21-D21)/D21</f>
        <v>-0.909291338582677</v>
      </c>
      <c r="H21" s="16"/>
    </row>
    <row r="22" ht="20.05" customHeight="1">
      <c r="B22" s="13"/>
      <c r="C22" s="14">
        <v>5353</v>
      </c>
      <c r="D22" s="15">
        <v>6303</v>
      </c>
      <c r="E22" s="15"/>
      <c r="F22" s="16">
        <f>D22/D21-1</f>
        <v>-0.00740157480314961</v>
      </c>
      <c r="G22" s="16">
        <f>('Cash Flow - Cash Flow quarterly'!C22+'Cash Flow - Cash Flow quarterly'!D22-D22)/D22</f>
        <v>-0.849595430747263</v>
      </c>
      <c r="H22" s="16"/>
    </row>
    <row r="23" ht="20.05" customHeight="1">
      <c r="B23" s="13"/>
      <c r="C23" s="14">
        <v>6368</v>
      </c>
      <c r="D23" s="15">
        <v>7384</v>
      </c>
      <c r="E23" s="15"/>
      <c r="F23" s="16">
        <f>D23/D22-1</f>
        <v>0.171505632238617</v>
      </c>
      <c r="G23" s="16">
        <f>('Cash Flow - Cash Flow quarterly'!C23+'Cash Flow - Cash Flow quarterly'!D23-D23)/D23</f>
        <v>-0.838299024918743</v>
      </c>
      <c r="H23" s="16"/>
    </row>
    <row r="24" ht="20.05" customHeight="1">
      <c r="B24" s="17">
        <v>2020</v>
      </c>
      <c r="C24" s="14">
        <v>5132</v>
      </c>
      <c r="D24" s="15">
        <v>5985</v>
      </c>
      <c r="E24" s="15">
        <v>5723.55</v>
      </c>
      <c r="F24" s="16">
        <f>D24/D23-1</f>
        <v>-0.189463705308776</v>
      </c>
      <c r="G24" s="16">
        <f>('Cash Flow - Cash Flow quarterly'!C24+'Cash Flow - Cash Flow quarterly'!D24-D24)/D24</f>
        <v>-0.831746031746032</v>
      </c>
      <c r="H24" s="16"/>
    </row>
    <row r="25" ht="20.05" customHeight="1">
      <c r="B25" s="13"/>
      <c r="C25" s="14">
        <v>5353</v>
      </c>
      <c r="D25" s="15">
        <v>6036</v>
      </c>
      <c r="E25" s="15">
        <v>5397.5</v>
      </c>
      <c r="F25" s="16">
        <f>D25/D24-1</f>
        <v>0.00852130325814536</v>
      </c>
      <c r="G25" s="16">
        <f>('Cash Flow - Cash Flow quarterly'!C25+'Cash Flow - Cash Flow quarterly'!D25-D25)/D25</f>
        <v>-0.799536116633532</v>
      </c>
      <c r="H25" s="18"/>
    </row>
    <row r="26" ht="20.05" customHeight="1">
      <c r="B26" s="13"/>
      <c r="C26" s="14">
        <v>7611</v>
      </c>
      <c r="D26" s="15">
        <v>8771</v>
      </c>
      <c r="E26" s="15">
        <v>6618.15</v>
      </c>
      <c r="F26" s="16">
        <f>D26/D25-1</f>
        <v>0.45311464546057</v>
      </c>
      <c r="G26" s="16">
        <f>('Cash Flow - Cash Flow quarterly'!C26+'Cash Flow - Cash Flow quarterly'!D26-D26)/D26</f>
        <v>-0.798768669478965</v>
      </c>
      <c r="H26" s="19"/>
    </row>
    <row r="27" ht="20.05" customHeight="1">
      <c r="B27" s="13"/>
      <c r="C27" s="14">
        <v>9314</v>
      </c>
      <c r="D27" s="15">
        <v>10744</v>
      </c>
      <c r="E27" s="15">
        <v>9209.549999999999</v>
      </c>
      <c r="F27" s="16">
        <f>D27/D26-1</f>
        <v>0.224945844259492</v>
      </c>
      <c r="G27" s="16">
        <f>('Cash Flow - Cash Flow quarterly'!C27+'Cash Flow - Cash Flow quarterly'!D27-D27)/D27</f>
        <v>-0.834605361131794</v>
      </c>
      <c r="H27" s="19">
        <f>G27</f>
        <v>-0.834605361131794</v>
      </c>
    </row>
    <row r="28" ht="20.05" customHeight="1">
      <c r="B28" s="17">
        <v>2021</v>
      </c>
      <c r="C28" s="14"/>
      <c r="D28" s="15"/>
      <c r="E28" s="15">
        <f>'Model - Financial model'!C6</f>
        <v>10529.12</v>
      </c>
      <c r="F28" s="18"/>
      <c r="G28" s="18"/>
      <c r="H28" s="19">
        <f>AVERAGE('Model - Financial model'!C7:F7)</f>
        <v>-0.816164044747581</v>
      </c>
    </row>
    <row r="29" ht="20.05" customHeight="1">
      <c r="B29" s="13"/>
      <c r="C29" s="14"/>
      <c r="D29" s="15"/>
      <c r="E29" s="15">
        <f>'Model - Financial model'!D6</f>
        <v>11055.576</v>
      </c>
      <c r="F29" s="18"/>
      <c r="G29" s="18"/>
      <c r="H29" s="18"/>
    </row>
    <row r="30" ht="20.05" customHeight="1">
      <c r="B30" s="13"/>
      <c r="C30" s="14"/>
      <c r="D30" s="15"/>
      <c r="E30" s="15">
        <f>SUM('Model - Financial model'!E6)</f>
        <v>11608.3548</v>
      </c>
      <c r="F30" s="18"/>
      <c r="G30" s="18"/>
      <c r="H30" s="18"/>
    </row>
    <row r="31" ht="20.05" customHeight="1">
      <c r="B31" s="13"/>
      <c r="C31" s="14"/>
      <c r="D31" s="15"/>
      <c r="E31" s="15">
        <f>'Model - Financial model'!F6</f>
        <v>12769.19028</v>
      </c>
      <c r="F31" s="18"/>
      <c r="G31" s="18"/>
      <c r="H31" s="18"/>
    </row>
  </sheetData>
  <mergeCells count="1">
    <mergeCell ref="B2:H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B3:L28"/>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4.71875" style="20" customWidth="1"/>
    <col min="2" max="2" width="9.07812" style="20" customWidth="1"/>
    <col min="3" max="12" width="10.4453" style="20" customWidth="1"/>
    <col min="13" max="16384" width="16.3516" style="20" customWidth="1"/>
  </cols>
  <sheetData>
    <row r="1" ht="26.9" customHeight="1"/>
    <row r="2" ht="27.65" customHeight="1">
      <c r="B2" t="s" s="7">
        <v>13</v>
      </c>
      <c r="C2" s="7"/>
      <c r="D2" s="7"/>
      <c r="E2" s="7"/>
      <c r="F2" s="7"/>
      <c r="G2" s="7"/>
      <c r="H2" s="7"/>
      <c r="I2" s="7"/>
      <c r="J2" s="7"/>
      <c r="K2" s="7"/>
      <c r="L2" s="7"/>
    </row>
    <row r="3" ht="44.25" customHeight="1">
      <c r="B3" t="s" s="8">
        <v>7</v>
      </c>
      <c r="C3" t="s" s="8">
        <v>15</v>
      </c>
      <c r="D3" t="s" s="8">
        <v>16</v>
      </c>
      <c r="E3" t="s" s="8">
        <v>17</v>
      </c>
      <c r="F3" t="s" s="8">
        <v>18</v>
      </c>
      <c r="G3" t="s" s="8">
        <v>19</v>
      </c>
      <c r="H3" t="s" s="8">
        <v>20</v>
      </c>
      <c r="I3" t="s" s="8">
        <v>21</v>
      </c>
      <c r="J3" t="s" s="8">
        <v>22</v>
      </c>
      <c r="K3" t="s" s="8">
        <v>9</v>
      </c>
      <c r="L3" t="s" s="8">
        <v>23</v>
      </c>
    </row>
    <row r="4" ht="20.35" customHeight="1">
      <c r="B4" s="9">
        <v>2015</v>
      </c>
      <c r="C4" s="10">
        <v>-154</v>
      </c>
      <c r="D4" s="11">
        <v>77</v>
      </c>
      <c r="E4" s="11">
        <v>-154</v>
      </c>
      <c r="F4" s="11"/>
      <c r="G4" s="11">
        <v>-132</v>
      </c>
      <c r="H4" s="11">
        <v>-432</v>
      </c>
      <c r="I4" s="11">
        <v>186</v>
      </c>
      <c r="J4" s="11">
        <f>H4+G4-E4</f>
        <v>-410</v>
      </c>
      <c r="K4" s="11"/>
      <c r="L4" s="11">
        <f>-I4</f>
        <v>-186</v>
      </c>
    </row>
    <row r="5" ht="20.15" customHeight="1">
      <c r="B5" s="13"/>
      <c r="C5" s="14">
        <v>184</v>
      </c>
      <c r="D5" s="15">
        <v>91.3</v>
      </c>
      <c r="E5" s="15">
        <v>-130</v>
      </c>
      <c r="F5" s="15"/>
      <c r="G5" s="15">
        <v>-160</v>
      </c>
      <c r="H5" s="15">
        <v>-423</v>
      </c>
      <c r="I5" s="15">
        <v>219</v>
      </c>
      <c r="J5" s="15">
        <f>H5+G5-E5</f>
        <v>-453</v>
      </c>
      <c r="K5" s="15"/>
      <c r="L5" s="15">
        <f>-I5+L4</f>
        <v>-405</v>
      </c>
    </row>
    <row r="6" ht="20.15" customHeight="1">
      <c r="B6" s="13"/>
      <c r="C6" s="14">
        <v>-229.8</v>
      </c>
      <c r="D6" s="15">
        <v>110.3</v>
      </c>
      <c r="E6" s="15">
        <v>-1065</v>
      </c>
      <c r="F6" s="15"/>
      <c r="G6" s="15">
        <v>-203</v>
      </c>
      <c r="H6" s="15">
        <v>-404</v>
      </c>
      <c r="I6" s="15">
        <v>894</v>
      </c>
      <c r="J6" s="15">
        <f>H6+G6-E6</f>
        <v>458</v>
      </c>
      <c r="K6" s="15"/>
      <c r="L6" s="15">
        <f>-I6+L5</f>
        <v>-1299</v>
      </c>
    </row>
    <row r="7" ht="20.15" customHeight="1">
      <c r="B7" s="13"/>
      <c r="C7" s="14">
        <v>-320.3</v>
      </c>
      <c r="D7" s="15">
        <v>143.7</v>
      </c>
      <c r="E7" s="15">
        <v>856</v>
      </c>
      <c r="F7" s="15"/>
      <c r="G7" s="15">
        <v>-29.8</v>
      </c>
      <c r="H7" s="15">
        <v>-414</v>
      </c>
      <c r="I7" s="15">
        <v>225</v>
      </c>
      <c r="J7" s="15">
        <f>H7+G7-E7</f>
        <v>-1299.8</v>
      </c>
      <c r="K7" s="15"/>
      <c r="L7" s="15">
        <f>-I7+L6</f>
        <v>-1524</v>
      </c>
    </row>
    <row r="8" ht="20.15" customHeight="1">
      <c r="B8" s="17">
        <v>2016</v>
      </c>
      <c r="C8" s="14">
        <v>-282</v>
      </c>
      <c r="D8" s="15">
        <v>156.4</v>
      </c>
      <c r="E8" s="15">
        <v>-270</v>
      </c>
      <c r="F8" s="15"/>
      <c r="G8" s="15">
        <v>-249.6</v>
      </c>
      <c r="H8" s="15">
        <v>-233.8</v>
      </c>
      <c r="I8" s="15">
        <v>715.4</v>
      </c>
      <c r="J8" s="15">
        <f>H8+G8-E8</f>
        <v>-213.4</v>
      </c>
      <c r="K8" s="15"/>
      <c r="L8" s="15">
        <f>-I8+L7</f>
        <v>-2239.4</v>
      </c>
    </row>
    <row r="9" ht="20.15" customHeight="1">
      <c r="B9" s="13"/>
      <c r="C9" s="14">
        <v>-293.18</v>
      </c>
      <c r="D9" s="15">
        <v>183.2</v>
      </c>
      <c r="E9" s="15">
        <v>159</v>
      </c>
      <c r="F9" s="15"/>
      <c r="G9" s="15">
        <v>150.3</v>
      </c>
      <c r="H9" s="15">
        <v>-319.8</v>
      </c>
      <c r="I9" s="15">
        <v>1976.5</v>
      </c>
      <c r="J9" s="15">
        <f>H9+G9-E9</f>
        <v>-328.5</v>
      </c>
      <c r="K9" s="15"/>
      <c r="L9" s="15">
        <f>-I9+L8</f>
        <v>-4215.9</v>
      </c>
    </row>
    <row r="10" ht="20.15" customHeight="1">
      <c r="B10" s="13"/>
      <c r="C10" s="14">
        <v>21.8</v>
      </c>
      <c r="D10" s="15">
        <v>280.4</v>
      </c>
      <c r="E10" s="15">
        <v>-36</v>
      </c>
      <c r="F10" s="15"/>
      <c r="G10" s="15">
        <v>423.6</v>
      </c>
      <c r="H10" s="15">
        <v>-268</v>
      </c>
      <c r="I10" s="15">
        <v>-320.8</v>
      </c>
      <c r="J10" s="15">
        <f>H10+G10-E10</f>
        <v>191.6</v>
      </c>
      <c r="K10" s="15"/>
      <c r="L10" s="15">
        <f>-I10+L9</f>
        <v>-3895.1</v>
      </c>
    </row>
    <row r="11" ht="20.15" customHeight="1">
      <c r="B11" s="13"/>
      <c r="C11" s="14">
        <v>-219</v>
      </c>
      <c r="D11" s="15">
        <v>327</v>
      </c>
      <c r="E11" s="15">
        <v>-548</v>
      </c>
      <c r="F11" s="15"/>
      <c r="G11" s="15">
        <v>-448</v>
      </c>
      <c r="H11" s="15">
        <v>-595</v>
      </c>
      <c r="I11" s="15">
        <v>1373</v>
      </c>
      <c r="J11" s="15">
        <f>H11+G11-E11</f>
        <v>-495</v>
      </c>
      <c r="K11" s="15"/>
      <c r="L11" s="15">
        <f>-I11+L10</f>
        <v>-5268.1</v>
      </c>
    </row>
    <row r="12" ht="20.15" customHeight="1">
      <c r="B12" s="17">
        <v>2017</v>
      </c>
      <c r="C12" s="14">
        <v>-397</v>
      </c>
      <c r="D12" s="15">
        <v>377</v>
      </c>
      <c r="E12" s="15">
        <v>-260</v>
      </c>
      <c r="F12" s="15"/>
      <c r="G12" s="15">
        <v>-70</v>
      </c>
      <c r="H12" s="15">
        <v>-927</v>
      </c>
      <c r="I12" s="15">
        <v>1599</v>
      </c>
      <c r="J12" s="15">
        <f>H12+G12-E12</f>
        <v>-737</v>
      </c>
      <c r="K12" s="15"/>
      <c r="L12" s="15">
        <f>-I12+L11</f>
        <v>-6867.1</v>
      </c>
    </row>
    <row r="13" ht="20.15" customHeight="1">
      <c r="B13" s="13"/>
      <c r="C13" s="14">
        <v>-401</v>
      </c>
      <c r="D13" s="15">
        <v>389</v>
      </c>
      <c r="E13" s="15">
        <v>-484</v>
      </c>
      <c r="F13" s="15"/>
      <c r="G13" s="15">
        <v>-200.17</v>
      </c>
      <c r="H13" s="15">
        <v>-1157.9</v>
      </c>
      <c r="I13" s="15">
        <v>428.7</v>
      </c>
      <c r="J13" s="15">
        <f>H13+G13-E13</f>
        <v>-874.0700000000001</v>
      </c>
      <c r="K13" s="15"/>
      <c r="L13" s="15">
        <f>-I13+L12</f>
        <v>-7295.8</v>
      </c>
    </row>
    <row r="14" ht="20.15" customHeight="1">
      <c r="B14" s="13"/>
      <c r="C14" s="14">
        <v>-671.1</v>
      </c>
      <c r="D14" s="15">
        <v>400.6</v>
      </c>
      <c r="E14" s="15">
        <v>-250</v>
      </c>
      <c r="F14" s="15"/>
      <c r="G14" s="15">
        <v>-300.5</v>
      </c>
      <c r="H14" s="15">
        <v>-1244.7</v>
      </c>
      <c r="I14" s="15">
        <v>2101.5</v>
      </c>
      <c r="J14" s="15">
        <f>H14+G14-E14</f>
        <v>-1295.2</v>
      </c>
      <c r="K14" s="15"/>
      <c r="L14" s="15">
        <f>-I14+L13</f>
        <v>-9397.299999999999</v>
      </c>
    </row>
    <row r="15" ht="20.15" customHeight="1">
      <c r="B15" s="13"/>
      <c r="C15" s="14">
        <v>-770.8</v>
      </c>
      <c r="D15" s="15">
        <v>469.6</v>
      </c>
      <c r="E15" s="15">
        <v>497</v>
      </c>
      <c r="F15" s="15"/>
      <c r="G15" s="15">
        <v>509.8</v>
      </c>
      <c r="H15" s="15">
        <v>-911.5</v>
      </c>
      <c r="I15" s="15">
        <v>285.8</v>
      </c>
      <c r="J15" s="15">
        <f>H15+G15-E15</f>
        <v>-898.7</v>
      </c>
      <c r="K15" s="15"/>
      <c r="L15" s="15">
        <f>-I15+L14</f>
        <v>-9683.1</v>
      </c>
    </row>
    <row r="16" ht="20.15" customHeight="1">
      <c r="B16" s="17">
        <v>2018</v>
      </c>
      <c r="C16" s="14">
        <v>-784.6</v>
      </c>
      <c r="D16" s="15">
        <v>416</v>
      </c>
      <c r="E16" s="15">
        <v>-261</v>
      </c>
      <c r="F16" s="15"/>
      <c r="G16" s="15">
        <v>-398.3</v>
      </c>
      <c r="H16" s="15">
        <v>-728.6</v>
      </c>
      <c r="I16" s="15">
        <v>371.6</v>
      </c>
      <c r="J16" s="15">
        <f>H16+G16-E16</f>
        <v>-865.9</v>
      </c>
      <c r="K16" s="15"/>
      <c r="L16" s="15">
        <f>-I16+L15</f>
        <v>-10054.7</v>
      </c>
    </row>
    <row r="17" ht="20.15" customHeight="1">
      <c r="B17" s="13"/>
      <c r="C17" s="14">
        <v>-743</v>
      </c>
      <c r="D17" s="15">
        <v>485</v>
      </c>
      <c r="E17" s="15">
        <v>-231</v>
      </c>
      <c r="F17" s="15"/>
      <c r="G17" s="15">
        <v>-129.6</v>
      </c>
      <c r="H17" s="15">
        <v>-683</v>
      </c>
      <c r="I17" s="15">
        <v>399</v>
      </c>
      <c r="J17" s="15">
        <f>H17+G17-E17</f>
        <v>-581.6</v>
      </c>
      <c r="K17" s="15"/>
      <c r="L17" s="15">
        <f>-I17+L16</f>
        <v>-10453.7</v>
      </c>
    </row>
    <row r="18" ht="20.15" customHeight="1">
      <c r="B18" s="13"/>
      <c r="C18" s="14">
        <v>254</v>
      </c>
      <c r="D18" s="15">
        <v>503</v>
      </c>
      <c r="E18" s="15">
        <v>349</v>
      </c>
      <c r="F18" s="15"/>
      <c r="G18" s="15">
        <v>1391</v>
      </c>
      <c r="H18" s="15">
        <v>-561</v>
      </c>
      <c r="I18" s="15">
        <v>-85</v>
      </c>
      <c r="J18" s="15">
        <f>H18+G18-E18</f>
        <v>481</v>
      </c>
      <c r="K18" s="18"/>
      <c r="L18" s="15">
        <f>-I18+L17</f>
        <v>-10368.7</v>
      </c>
    </row>
    <row r="19" ht="20.15" customHeight="1">
      <c r="B19" s="13"/>
      <c r="C19" s="14">
        <v>210</v>
      </c>
      <c r="D19" s="15">
        <v>497</v>
      </c>
      <c r="E19" s="15">
        <v>199</v>
      </c>
      <c r="F19" s="15"/>
      <c r="G19" s="15">
        <v>1235</v>
      </c>
      <c r="H19" s="15">
        <v>-365</v>
      </c>
      <c r="I19" s="15">
        <v>-112</v>
      </c>
      <c r="J19" s="15">
        <f>H19+G19-E19</f>
        <v>671</v>
      </c>
      <c r="K19" s="18"/>
      <c r="L19" s="15">
        <f>-I19+L18</f>
        <v>-10256.7</v>
      </c>
    </row>
    <row r="20" ht="20.15" customHeight="1">
      <c r="B20" s="17">
        <v>2019</v>
      </c>
      <c r="C20" s="14">
        <v>-667.6</v>
      </c>
      <c r="D20" s="15">
        <v>468</v>
      </c>
      <c r="E20" s="15">
        <v>-676</v>
      </c>
      <c r="F20" s="15"/>
      <c r="G20" s="15">
        <v>-640</v>
      </c>
      <c r="H20" s="15">
        <v>-306</v>
      </c>
      <c r="I20" s="15">
        <v>-653</v>
      </c>
      <c r="J20" s="15">
        <f>H20+G20-E20</f>
        <v>-270</v>
      </c>
      <c r="K20" s="18"/>
      <c r="L20" s="15">
        <f>-I20+L19</f>
        <v>-9603.700000000001</v>
      </c>
    </row>
    <row r="21" ht="20.15" customHeight="1">
      <c r="B21" s="13"/>
      <c r="C21" s="14">
        <v>-389</v>
      </c>
      <c r="D21" s="15">
        <v>965</v>
      </c>
      <c r="E21" s="15">
        <v>289</v>
      </c>
      <c r="F21" s="15"/>
      <c r="G21" s="15">
        <v>864</v>
      </c>
      <c r="H21" s="15">
        <v>-241</v>
      </c>
      <c r="I21" s="15">
        <v>2143</v>
      </c>
      <c r="J21" s="15">
        <f>H21+G21-E21</f>
        <v>334</v>
      </c>
      <c r="K21" s="18"/>
      <c r="L21" s="15">
        <f>-I21+L20</f>
        <v>-11746.7</v>
      </c>
    </row>
    <row r="22" ht="20.15" customHeight="1">
      <c r="B22" s="13"/>
      <c r="C22" s="14">
        <v>150</v>
      </c>
      <c r="D22" s="15">
        <v>798</v>
      </c>
      <c r="E22" s="15">
        <v>-191</v>
      </c>
      <c r="F22" s="15"/>
      <c r="G22" s="15">
        <v>756</v>
      </c>
      <c r="H22" s="15">
        <v>-486</v>
      </c>
      <c r="I22" s="15">
        <v>118</v>
      </c>
      <c r="J22" s="15">
        <f>H22+G22-E22</f>
        <v>461</v>
      </c>
      <c r="K22" s="15"/>
      <c r="L22" s="15">
        <f>-I22+L21</f>
        <v>-11864.7</v>
      </c>
    </row>
    <row r="23" ht="20.15" customHeight="1">
      <c r="B23" s="13"/>
      <c r="C23" s="14">
        <v>132</v>
      </c>
      <c r="D23" s="15">
        <v>1062</v>
      </c>
      <c r="E23" s="15">
        <v>231</v>
      </c>
      <c r="F23" s="15">
        <v>-412</v>
      </c>
      <c r="G23" s="15">
        <v>1425</v>
      </c>
      <c r="H23" s="15">
        <v>-403</v>
      </c>
      <c r="I23" s="15">
        <v>-79</v>
      </c>
      <c r="J23" s="15">
        <f>G23+F23</f>
        <v>1013</v>
      </c>
      <c r="K23" s="15"/>
      <c r="L23" s="15">
        <f>-I23+L22</f>
        <v>-11785.7</v>
      </c>
    </row>
    <row r="24" ht="20.15" customHeight="1">
      <c r="B24" s="17">
        <v>2020</v>
      </c>
      <c r="C24" s="14">
        <v>68</v>
      </c>
      <c r="D24" s="15">
        <v>939</v>
      </c>
      <c r="E24" s="15">
        <v>-1447</v>
      </c>
      <c r="F24" s="15">
        <v>-455</v>
      </c>
      <c r="G24" s="15">
        <v>-440</v>
      </c>
      <c r="H24" s="15">
        <v>-480</v>
      </c>
      <c r="I24" s="15">
        <v>2708</v>
      </c>
      <c r="J24" s="15">
        <f>G24+F24</f>
        <v>-895</v>
      </c>
      <c r="K24" s="15"/>
      <c r="L24" s="15">
        <f>-I24+L23</f>
        <v>-14493.7</v>
      </c>
    </row>
    <row r="25" ht="20.15" customHeight="1">
      <c r="B25" s="13"/>
      <c r="C25" s="14">
        <v>129</v>
      </c>
      <c r="D25" s="15">
        <v>1081</v>
      </c>
      <c r="E25" s="15">
        <v>-246</v>
      </c>
      <c r="F25" s="15">
        <v>-546</v>
      </c>
      <c r="G25" s="15">
        <v>964</v>
      </c>
      <c r="H25" s="15">
        <v>-566</v>
      </c>
      <c r="I25" s="15">
        <v>123</v>
      </c>
      <c r="J25" s="15">
        <f>G25+F25</f>
        <v>418</v>
      </c>
      <c r="K25" s="15"/>
      <c r="L25" s="15">
        <f>-I25+L24</f>
        <v>-14616.7</v>
      </c>
    </row>
    <row r="26" ht="20.15" customHeight="1">
      <c r="B26" s="13"/>
      <c r="C26" s="14">
        <v>369</v>
      </c>
      <c r="D26" s="15">
        <v>1396</v>
      </c>
      <c r="E26" s="15">
        <v>635</v>
      </c>
      <c r="F26" s="15">
        <v>-1005</v>
      </c>
      <c r="G26" s="15">
        <v>2400</v>
      </c>
      <c r="H26" s="15">
        <v>-1039</v>
      </c>
      <c r="I26" s="15">
        <f>4450</f>
        <v>4450</v>
      </c>
      <c r="J26" s="15">
        <f>G26+F26</f>
        <v>1395</v>
      </c>
      <c r="K26" s="15"/>
      <c r="L26" s="15">
        <f>-I26+L25</f>
        <v>-19066.7</v>
      </c>
    </row>
    <row r="27" ht="20.15" customHeight="1">
      <c r="B27" s="13"/>
      <c r="C27" s="14">
        <v>296</v>
      </c>
      <c r="D27" s="15">
        <v>1481</v>
      </c>
      <c r="E27" s="15">
        <v>1242</v>
      </c>
      <c r="F27" s="15">
        <v>-1151</v>
      </c>
      <c r="G27" s="15">
        <v>3019</v>
      </c>
      <c r="H27" s="15">
        <v>-1047</v>
      </c>
      <c r="I27" s="21">
        <v>2692</v>
      </c>
      <c r="J27" s="15">
        <f>G27+F27</f>
        <v>1868</v>
      </c>
      <c r="K27" s="15">
        <f>AVERAGE(J24:J27)</f>
        <v>696.5</v>
      </c>
      <c r="L27" s="15">
        <f>-I27+L26</f>
        <v>-21758.7</v>
      </c>
    </row>
    <row r="28" ht="20.15" customHeight="1">
      <c r="B28" s="13"/>
      <c r="C28" s="14"/>
      <c r="D28" s="15"/>
      <c r="E28" s="15"/>
      <c r="F28" s="15"/>
      <c r="G28" s="15"/>
      <c r="H28" s="15"/>
      <c r="I28" s="15">
        <f>SUM('Model - Financial model'!C11:F11)</f>
        <v>-4846.845827817090</v>
      </c>
      <c r="J28" s="18"/>
      <c r="K28" s="15">
        <f>SUM('Model - Financial model'!C9:F10)/4</f>
        <v>1211.711456954280</v>
      </c>
      <c r="L28" s="15">
        <f>-I28+L27</f>
        <v>-16911.8541721829</v>
      </c>
    </row>
  </sheetData>
  <mergeCells count="1">
    <mergeCell ref="B2:L2"/>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B3:L28"/>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18.1562" style="22" customWidth="1"/>
    <col min="2" max="2" width="7.53906" style="22" customWidth="1"/>
    <col min="3" max="12" width="9.98438" style="22" customWidth="1"/>
    <col min="13" max="16384" width="16.3516" style="22" customWidth="1"/>
  </cols>
  <sheetData>
    <row r="1" ht="35.7" customHeight="1"/>
    <row r="2" ht="27.65" customHeight="1">
      <c r="B2" t="s" s="7">
        <v>24</v>
      </c>
      <c r="C2" s="7"/>
      <c r="D2" s="7"/>
      <c r="E2" s="7"/>
      <c r="F2" s="7"/>
      <c r="G2" s="7"/>
      <c r="H2" s="7"/>
      <c r="I2" s="7"/>
      <c r="J2" s="7"/>
      <c r="K2" s="7"/>
      <c r="L2" s="7"/>
    </row>
    <row r="3" ht="32.25" customHeight="1">
      <c r="B3" t="s" s="8">
        <v>7</v>
      </c>
      <c r="C3" t="s" s="8">
        <v>26</v>
      </c>
      <c r="D3" t="s" s="8">
        <v>27</v>
      </c>
      <c r="E3" t="s" s="8">
        <v>28</v>
      </c>
      <c r="F3" t="s" s="8">
        <v>29</v>
      </c>
      <c r="G3" t="s" s="8">
        <v>30</v>
      </c>
      <c r="H3" t="s" s="8">
        <v>31</v>
      </c>
      <c r="I3" t="s" s="8">
        <v>32</v>
      </c>
      <c r="J3" t="s" s="8">
        <v>33</v>
      </c>
      <c r="K3" t="s" s="8">
        <v>34</v>
      </c>
      <c r="L3" t="s" s="8">
        <v>9</v>
      </c>
    </row>
    <row r="4" ht="20.25" customHeight="1">
      <c r="B4" s="9">
        <v>2015</v>
      </c>
      <c r="C4" s="10">
        <v>1510</v>
      </c>
      <c r="D4" s="11">
        <v>6120</v>
      </c>
      <c r="E4" s="11">
        <f>D4-C4</f>
        <v>4610</v>
      </c>
      <c r="F4" s="11">
        <f>'Cash Flow - Cash Flow quarterly'!D4</f>
        <v>77</v>
      </c>
      <c r="G4" s="11">
        <v>5240</v>
      </c>
      <c r="H4" s="11">
        <v>826</v>
      </c>
      <c r="I4" s="11">
        <v>54</v>
      </c>
      <c r="J4" s="11">
        <f>G4+H4+I4-C4-E4</f>
        <v>0</v>
      </c>
      <c r="K4" s="11">
        <f>C4-G4</f>
        <v>-3730</v>
      </c>
      <c r="L4" s="11"/>
    </row>
    <row r="5" ht="20.05" customHeight="1">
      <c r="B5" s="13"/>
      <c r="C5" s="14">
        <v>1150.6</v>
      </c>
      <c r="D5" s="15">
        <v>6468</v>
      </c>
      <c r="E5" s="15">
        <f>D5-C5</f>
        <v>5317.4</v>
      </c>
      <c r="F5" s="15">
        <f>F4+'Cash Flow - Cash Flow quarterly'!D5</f>
        <v>168.3</v>
      </c>
      <c r="G5" s="15">
        <v>5702</v>
      </c>
      <c r="H5" s="15">
        <v>716</v>
      </c>
      <c r="I5" s="15">
        <v>50</v>
      </c>
      <c r="J5" s="15">
        <f>G5+H5+I5-C5-E5</f>
        <v>0</v>
      </c>
      <c r="K5" s="15">
        <f>C5-G5</f>
        <v>-4551.4</v>
      </c>
      <c r="L5" s="15"/>
    </row>
    <row r="6" ht="20.05" customHeight="1">
      <c r="B6" s="13"/>
      <c r="C6" s="14">
        <v>1426</v>
      </c>
      <c r="D6" s="15">
        <v>7547</v>
      </c>
      <c r="E6" s="15">
        <f>D6-C6</f>
        <v>6121</v>
      </c>
      <c r="F6" s="15">
        <f>F5+'Cash Flow - Cash Flow quarterly'!D6</f>
        <v>278.6</v>
      </c>
      <c r="G6" s="15">
        <v>6187</v>
      </c>
      <c r="H6" s="15">
        <v>1314</v>
      </c>
      <c r="I6" s="15">
        <v>46</v>
      </c>
      <c r="J6" s="15">
        <f>G6+H6+I6-C6-E6</f>
        <v>0</v>
      </c>
      <c r="K6" s="15">
        <f>C6-G6</f>
        <v>-4761</v>
      </c>
      <c r="L6" s="15"/>
    </row>
    <row r="7" ht="20.05" customHeight="1">
      <c r="B7" s="13"/>
      <c r="C7" s="14">
        <v>1196.9</v>
      </c>
      <c r="D7" s="15">
        <v>8067.9</v>
      </c>
      <c r="E7" s="15">
        <f>D7-C7</f>
        <v>6871</v>
      </c>
      <c r="F7" s="15">
        <f>F6+'Cash Flow - Cash Flow quarterly'!D7</f>
        <v>422.3</v>
      </c>
      <c r="G7" s="15">
        <v>6937</v>
      </c>
      <c r="H7" s="15">
        <v>1084</v>
      </c>
      <c r="I7" s="15">
        <v>47</v>
      </c>
      <c r="J7" s="15">
        <f>G7+H7+I7-C7-E7</f>
        <v>0.1</v>
      </c>
      <c r="K7" s="15">
        <f>C7-G7</f>
        <v>-5740.1</v>
      </c>
      <c r="L7" s="15"/>
    </row>
    <row r="8" ht="20.05" customHeight="1">
      <c r="B8" s="17">
        <v>2016</v>
      </c>
      <c r="C8" s="14">
        <v>1441.7</v>
      </c>
      <c r="D8" s="15">
        <v>9192</v>
      </c>
      <c r="E8" s="15">
        <f>D8-C8</f>
        <v>7750.3</v>
      </c>
      <c r="F8" s="15">
        <f>F7+'Cash Flow - Cash Flow quarterly'!D8</f>
        <v>578.7</v>
      </c>
      <c r="G8" s="15">
        <v>8179</v>
      </c>
      <c r="H8" s="15">
        <v>970</v>
      </c>
      <c r="I8" s="15">
        <v>43</v>
      </c>
      <c r="J8" s="15">
        <f>G8+H8+I8-C8-E8</f>
        <v>0</v>
      </c>
      <c r="K8" s="15">
        <f>C8-G8</f>
        <v>-6737.3</v>
      </c>
      <c r="L8" s="15"/>
    </row>
    <row r="9" ht="20.05" customHeight="1">
      <c r="B9" s="13"/>
      <c r="C9" s="14">
        <v>3246.3</v>
      </c>
      <c r="D9" s="15">
        <v>11868.9</v>
      </c>
      <c r="E9" s="15">
        <f>D9-C9</f>
        <v>8622.6</v>
      </c>
      <c r="F9" s="15">
        <f>F8+'Cash Flow - Cash Flow quarterly'!D9</f>
        <v>761.9</v>
      </c>
      <c r="G9" s="15">
        <v>9312</v>
      </c>
      <c r="H9" s="15">
        <v>2520</v>
      </c>
      <c r="I9" s="15">
        <v>37</v>
      </c>
      <c r="J9" s="15">
        <f>G9+H9+I9-C9-E9</f>
        <v>0.1</v>
      </c>
      <c r="K9" s="15">
        <f>C9-G9</f>
        <v>-6065.7</v>
      </c>
      <c r="L9" s="15"/>
    </row>
    <row r="10" ht="20.05" customHeight="1">
      <c r="B10" s="13"/>
      <c r="C10" s="14">
        <v>3084.2</v>
      </c>
      <c r="D10" s="15">
        <v>12592</v>
      </c>
      <c r="E10" s="15">
        <f>D10-C10</f>
        <v>9507.799999999999</v>
      </c>
      <c r="F10" s="15">
        <f>F9+'Cash Flow - Cash Flow quarterly'!D10</f>
        <v>1042.3</v>
      </c>
      <c r="G10" s="15">
        <v>9901</v>
      </c>
      <c r="H10" s="15">
        <v>2680</v>
      </c>
      <c r="I10" s="15">
        <v>11</v>
      </c>
      <c r="J10" s="15">
        <f>G10+H10+I10-C10-E10</f>
        <v>0</v>
      </c>
      <c r="K10" s="15">
        <f>C10-G10</f>
        <v>-6816.8</v>
      </c>
      <c r="L10" s="15"/>
    </row>
    <row r="11" ht="20.05" customHeight="1">
      <c r="B11" s="13"/>
      <c r="C11" s="14">
        <v>3393.2</v>
      </c>
      <c r="D11" s="15">
        <v>22664</v>
      </c>
      <c r="E11" s="15">
        <f>D11-C11</f>
        <v>19270.8</v>
      </c>
      <c r="F11" s="15">
        <f>F10+'Cash Flow - Cash Flow quarterly'!D11</f>
        <v>1369.3</v>
      </c>
      <c r="G11" s="15">
        <v>16750</v>
      </c>
      <c r="H11" s="15">
        <v>4753</v>
      </c>
      <c r="I11" s="15">
        <v>1161</v>
      </c>
      <c r="J11" s="15">
        <f>G11+H11+I11-C11-E11</f>
        <v>0</v>
      </c>
      <c r="K11" s="15">
        <f>C11-G11</f>
        <v>-13356.8</v>
      </c>
      <c r="L11" s="15"/>
    </row>
    <row r="12" ht="20.05" customHeight="1">
      <c r="B12" s="17">
        <v>2017</v>
      </c>
      <c r="C12" s="14">
        <v>4006.5</v>
      </c>
      <c r="D12" s="15">
        <v>25053.7</v>
      </c>
      <c r="E12" s="15">
        <f>D12-C12</f>
        <v>21047.2</v>
      </c>
      <c r="F12" s="15">
        <f>F11+'Cash Flow - Cash Flow quarterly'!D12</f>
        <v>1746.3</v>
      </c>
      <c r="G12" s="15">
        <v>18885</v>
      </c>
      <c r="H12" s="15">
        <v>4988</v>
      </c>
      <c r="I12" s="15">
        <v>1181</v>
      </c>
      <c r="J12" s="15">
        <f>G12+H12+I12-C12-E12</f>
        <v>0.3</v>
      </c>
      <c r="K12" s="15">
        <f>C12-G12</f>
        <v>-14878.5</v>
      </c>
      <c r="L12" s="15"/>
    </row>
    <row r="13" ht="20.05" customHeight="1">
      <c r="B13" s="13"/>
      <c r="C13" s="14">
        <v>3035.9</v>
      </c>
      <c r="D13" s="15">
        <v>26043.7</v>
      </c>
      <c r="E13" s="15">
        <f>D13-C13</f>
        <v>23007.8</v>
      </c>
      <c r="F13" s="15">
        <f>F12+'Cash Flow - Cash Flow quarterly'!D13</f>
        <v>2135.3</v>
      </c>
      <c r="G13" s="15">
        <v>19460</v>
      </c>
      <c r="H13" s="15">
        <v>5106</v>
      </c>
      <c r="I13" s="15">
        <v>1478</v>
      </c>
      <c r="J13" s="15">
        <f>G13+H13+I13-C13-E13</f>
        <v>0.3</v>
      </c>
      <c r="K13" s="15">
        <f>C13-G13</f>
        <v>-16424.1</v>
      </c>
      <c r="L13" s="15"/>
    </row>
    <row r="14" ht="20.05" customHeight="1">
      <c r="B14" s="13"/>
      <c r="C14" s="14">
        <v>3530</v>
      </c>
      <c r="D14" s="15">
        <v>28107</v>
      </c>
      <c r="E14" s="15">
        <f>D14-C14</f>
        <v>24577</v>
      </c>
      <c r="F14" s="15">
        <f>F13+'Cash Flow - Cash Flow quarterly'!D14</f>
        <v>2535.9</v>
      </c>
      <c r="G14" s="15">
        <v>21929</v>
      </c>
      <c r="H14" s="15">
        <v>4712</v>
      </c>
      <c r="I14" s="15">
        <v>1466</v>
      </c>
      <c r="J14" s="15">
        <f>G14+H14+I14-C14-E14</f>
        <v>0</v>
      </c>
      <c r="K14" s="15">
        <f>C14-G14</f>
        <v>-18399</v>
      </c>
      <c r="L14" s="15"/>
    </row>
    <row r="15" ht="20.05" customHeight="1">
      <c r="B15" s="13"/>
      <c r="C15" s="14">
        <v>3368</v>
      </c>
      <c r="D15" s="15">
        <v>28655</v>
      </c>
      <c r="E15" s="15">
        <f>D15-C15</f>
        <v>25287</v>
      </c>
      <c r="F15" s="15">
        <f>F14+'Cash Flow - Cash Flow quarterly'!D15</f>
        <v>3005.5</v>
      </c>
      <c r="G15" s="15">
        <v>23023</v>
      </c>
      <c r="H15" s="15">
        <v>4237</v>
      </c>
      <c r="I15" s="15">
        <v>1395</v>
      </c>
      <c r="J15" s="15">
        <f>G15+H15+I15-C15-E15</f>
        <v>0</v>
      </c>
      <c r="K15" s="15">
        <f>C15-G15</f>
        <v>-19655</v>
      </c>
      <c r="L15" s="15"/>
    </row>
    <row r="16" ht="20.05" customHeight="1">
      <c r="B16" s="17">
        <v>2018</v>
      </c>
      <c r="C16" s="14">
        <v>2666</v>
      </c>
      <c r="D16" s="15">
        <v>27271</v>
      </c>
      <c r="E16" s="15">
        <f>D16-C16</f>
        <v>24605</v>
      </c>
      <c r="F16" s="15">
        <f>F15+'Cash Flow - Cash Flow quarterly'!D16</f>
        <v>3421.5</v>
      </c>
      <c r="G16" s="15">
        <v>21551</v>
      </c>
      <c r="H16" s="15">
        <v>4451</v>
      </c>
      <c r="I16" s="15">
        <v>1269</v>
      </c>
      <c r="J16" s="15">
        <f>G16+H16+I16-C16-E16</f>
        <v>0</v>
      </c>
      <c r="K16" s="15">
        <f>C16-G16</f>
        <v>-18885</v>
      </c>
      <c r="L16" s="15"/>
    </row>
    <row r="17" ht="20.05" customHeight="1">
      <c r="B17" s="13"/>
      <c r="C17" s="14">
        <v>2236.4</v>
      </c>
      <c r="D17" s="15">
        <v>27910</v>
      </c>
      <c r="E17" s="15">
        <f>D17-C17</f>
        <v>25673.6</v>
      </c>
      <c r="F17" s="15">
        <f>F16+'Cash Flow - Cash Flow quarterly'!D17</f>
        <v>3906.5</v>
      </c>
      <c r="G17" s="15">
        <v>22643</v>
      </c>
      <c r="H17" s="15">
        <v>3906</v>
      </c>
      <c r="I17" s="15">
        <v>1361</v>
      </c>
      <c r="J17" s="15">
        <f>G17+H17+I17-C17-E17</f>
        <v>0</v>
      </c>
      <c r="K17" s="15">
        <f>C17-G17</f>
        <v>-20406.6</v>
      </c>
      <c r="L17" s="15"/>
    </row>
    <row r="18" ht="20.05" customHeight="1">
      <c r="B18" s="13"/>
      <c r="C18" s="14">
        <v>2968</v>
      </c>
      <c r="D18" s="15">
        <v>29263</v>
      </c>
      <c r="E18" s="15">
        <f>D18-C18</f>
        <v>26295</v>
      </c>
      <c r="F18" s="15">
        <f>F17+'Cash Flow - Cash Flow quarterly'!D18</f>
        <v>4409.5</v>
      </c>
      <c r="G18" s="15">
        <v>23409</v>
      </c>
      <c r="H18" s="15">
        <v>4509</v>
      </c>
      <c r="I18" s="15">
        <v>1345</v>
      </c>
      <c r="J18" s="15">
        <f>G18+H18+I18-C18-E18</f>
        <v>0</v>
      </c>
      <c r="K18" s="15">
        <f>C18-G18</f>
        <v>-20441</v>
      </c>
      <c r="L18" s="15"/>
    </row>
    <row r="19" ht="20.05" customHeight="1">
      <c r="B19" s="13"/>
      <c r="C19" s="14">
        <v>3686</v>
      </c>
      <c r="D19" s="15">
        <v>29740</v>
      </c>
      <c r="E19" s="15">
        <f>D19-C19</f>
        <v>26054</v>
      </c>
      <c r="F19" s="15">
        <f>F18+'Cash Flow - Cash Flow quarterly'!D19</f>
        <v>4906.5</v>
      </c>
      <c r="G19" s="15">
        <v>23427</v>
      </c>
      <c r="H19" s="15">
        <v>4923</v>
      </c>
      <c r="I19" s="15">
        <v>1390</v>
      </c>
      <c r="J19" s="15">
        <f>G19+H19+I19-C19-E19</f>
        <v>0</v>
      </c>
      <c r="K19" s="15">
        <f>C19-G19</f>
        <v>-19741</v>
      </c>
      <c r="L19" s="15"/>
    </row>
    <row r="20" ht="20.05" customHeight="1">
      <c r="B20" s="17">
        <v>2019</v>
      </c>
      <c r="C20" s="14">
        <v>2198</v>
      </c>
      <c r="D20" s="15">
        <v>28913</v>
      </c>
      <c r="E20" s="15">
        <f>D20-C20</f>
        <v>26715</v>
      </c>
      <c r="F20" s="15">
        <f>F19+'Cash Flow - Cash Flow quarterly'!D20</f>
        <v>5374.5</v>
      </c>
      <c r="G20" s="15">
        <v>22875</v>
      </c>
      <c r="H20" s="15">
        <v>4606</v>
      </c>
      <c r="I20" s="15">
        <v>1432</v>
      </c>
      <c r="J20" s="15">
        <f>G20+H20+I20-C20-E20</f>
        <v>0</v>
      </c>
      <c r="K20" s="15">
        <f>C20-G20</f>
        <v>-20677</v>
      </c>
      <c r="L20" s="15"/>
    </row>
    <row r="21" ht="20.05" customHeight="1">
      <c r="B21" s="13"/>
      <c r="C21" s="14">
        <v>4955</v>
      </c>
      <c r="D21" s="15">
        <v>31873</v>
      </c>
      <c r="E21" s="15">
        <f>D21-C21</f>
        <v>26918</v>
      </c>
      <c r="F21" s="15">
        <f>F20+'Cash Flow - Cash Flow quarterly'!D21</f>
        <v>6339.5</v>
      </c>
      <c r="G21" s="15">
        <v>24722</v>
      </c>
      <c r="H21" s="15">
        <v>5715</v>
      </c>
      <c r="I21" s="15">
        <v>1436</v>
      </c>
      <c r="J21" s="15">
        <f>G21+H21+I21-C21-E21</f>
        <v>0</v>
      </c>
      <c r="K21" s="15">
        <f>C21-G21</f>
        <v>-19767</v>
      </c>
      <c r="L21" s="15"/>
    </row>
    <row r="22" ht="20.05" customHeight="1">
      <c r="B22" s="13"/>
      <c r="C22" s="14">
        <v>5338</v>
      </c>
      <c r="D22" s="15">
        <v>32795</v>
      </c>
      <c r="E22" s="15">
        <f>D22-C22</f>
        <v>27457</v>
      </c>
      <c r="F22" s="15">
        <f>F21+'Cash Flow - Cash Flow quarterly'!D22</f>
        <v>7137.5</v>
      </c>
      <c r="G22" s="15">
        <v>25313</v>
      </c>
      <c r="H22" s="15">
        <v>6040</v>
      </c>
      <c r="I22" s="15">
        <v>1442</v>
      </c>
      <c r="J22" s="15">
        <f>G22+H22+I22-C22-E22</f>
        <v>0</v>
      </c>
      <c r="K22" s="15">
        <f>C22-G22</f>
        <v>-19975</v>
      </c>
      <c r="L22" s="15"/>
    </row>
    <row r="23" ht="20.05" customHeight="1">
      <c r="B23" s="13"/>
      <c r="C23" s="14">
        <v>6268</v>
      </c>
      <c r="D23" s="15">
        <v>34309</v>
      </c>
      <c r="E23" s="15">
        <f>D23-C23</f>
        <v>28041</v>
      </c>
      <c r="F23" s="15">
        <f>F22+'Cash Flow - Cash Flow quarterly'!D23</f>
        <v>8199.5</v>
      </c>
      <c r="G23" s="15">
        <v>26199</v>
      </c>
      <c r="H23" s="15">
        <v>6618</v>
      </c>
      <c r="I23" s="15">
        <v>1492</v>
      </c>
      <c r="J23" s="15">
        <f>G23+H23+I23-C23-E23</f>
        <v>0</v>
      </c>
      <c r="K23" s="15">
        <f>C23-G23</f>
        <v>-19931</v>
      </c>
      <c r="L23" s="15"/>
    </row>
    <row r="24" ht="20.05" customHeight="1">
      <c r="B24" s="17">
        <v>2020</v>
      </c>
      <c r="C24" s="14">
        <v>8080</v>
      </c>
      <c r="D24" s="15">
        <v>37250</v>
      </c>
      <c r="E24" s="15">
        <f>D24-C24</f>
        <v>29170</v>
      </c>
      <c r="F24" s="15">
        <f>F23+'Cash Flow - Cash Flow quarterly'!D24</f>
        <v>9138.5</v>
      </c>
      <c r="G24" s="15">
        <v>26518</v>
      </c>
      <c r="H24" s="15">
        <v>9173</v>
      </c>
      <c r="I24" s="15">
        <v>1559</v>
      </c>
      <c r="J24" s="15">
        <f>G24+H24+I24-C24-E24</f>
        <v>0</v>
      </c>
      <c r="K24" s="15">
        <f>C24-G24</f>
        <v>-18438</v>
      </c>
      <c r="L24" s="15"/>
    </row>
    <row r="25" ht="20.05" customHeight="1">
      <c r="B25" s="13"/>
      <c r="C25" s="14">
        <v>8615</v>
      </c>
      <c r="D25" s="15">
        <v>38135</v>
      </c>
      <c r="E25" s="15">
        <f>D25-C25</f>
        <v>29520</v>
      </c>
      <c r="F25" s="15">
        <f>F24+'Cash Flow - Cash Flow quarterly'!D25</f>
        <v>10219.5</v>
      </c>
      <c r="G25" s="15">
        <v>26754</v>
      </c>
      <c r="H25" s="15">
        <v>9855</v>
      </c>
      <c r="I25" s="15">
        <v>1526</v>
      </c>
      <c r="J25" s="15">
        <f>G25+H25+I25-C25-E25</f>
        <v>0</v>
      </c>
      <c r="K25" s="15">
        <f>C25-G25</f>
        <v>-18139</v>
      </c>
      <c r="L25" s="15"/>
    </row>
    <row r="26" ht="20.05" customHeight="1">
      <c r="B26" s="13"/>
      <c r="C26" s="14">
        <v>14531</v>
      </c>
      <c r="D26" s="15">
        <v>45691</v>
      </c>
      <c r="E26" s="15">
        <f>D26-C26</f>
        <v>31160</v>
      </c>
      <c r="F26" s="15">
        <f>F25+'Cash Flow - Cash Flow quarterly'!D26</f>
        <v>11615.5</v>
      </c>
      <c r="G26" s="15">
        <v>28143</v>
      </c>
      <c r="H26" s="15">
        <v>16031</v>
      </c>
      <c r="I26" s="15">
        <v>1517</v>
      </c>
      <c r="J26" s="15">
        <f>G26+H26+I26-C26-E26</f>
        <v>0</v>
      </c>
      <c r="K26" s="15">
        <f>C26-G26</f>
        <v>-13612</v>
      </c>
      <c r="L26" s="15"/>
    </row>
    <row r="27" ht="20.05" customHeight="1">
      <c r="B27" s="13"/>
      <c r="C27" s="14">
        <v>19384</v>
      </c>
      <c r="D27" s="15">
        <v>52148</v>
      </c>
      <c r="E27" s="15">
        <f>D27-C27</f>
        <v>32764</v>
      </c>
      <c r="F27" s="15">
        <f>F26+'Cash Flow - Cash Flow quarterly'!D27</f>
        <v>13096.5</v>
      </c>
      <c r="G27" s="15">
        <v>29073</v>
      </c>
      <c r="H27" s="15">
        <v>22225</v>
      </c>
      <c r="I27" s="15">
        <v>850</v>
      </c>
      <c r="J27" s="15">
        <f>G27+H27+I27-C27-E27</f>
        <v>0</v>
      </c>
      <c r="K27" s="15">
        <f>C27-G27</f>
        <v>-9689</v>
      </c>
      <c r="L27" s="15">
        <f>K27</f>
        <v>-9689</v>
      </c>
    </row>
    <row r="28" ht="20.05" customHeight="1">
      <c r="B28" s="13"/>
      <c r="C28" s="14"/>
      <c r="D28" s="15"/>
      <c r="E28" s="15"/>
      <c r="F28" s="15"/>
      <c r="G28" s="15"/>
      <c r="H28" s="15"/>
      <c r="I28" s="15"/>
      <c r="J28" s="15"/>
      <c r="K28" s="15"/>
      <c r="L28" s="15">
        <f>'Model - Financial model'!F25-'Model - Financial model'!F29-'Model - Financial model'!F30</f>
        <v>-6104.910419424790</v>
      </c>
    </row>
  </sheetData>
  <mergeCells count="1">
    <mergeCell ref="B2:L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B3:E89"/>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22.6719" style="23" customWidth="1"/>
    <col min="2" max="5" width="11.0547" style="23" customWidth="1"/>
    <col min="6" max="16384" width="16.3516" style="23" customWidth="1"/>
  </cols>
  <sheetData>
    <row r="1" ht="40" customHeight="1"/>
    <row r="2" ht="27.65" customHeight="1">
      <c r="B2" t="s" s="7">
        <v>36</v>
      </c>
      <c r="C2" s="7"/>
      <c r="D2" s="7"/>
      <c r="E2" s="7"/>
    </row>
    <row r="3" ht="20.35" customHeight="1">
      <c r="B3" s="24"/>
      <c r="C3" t="s" s="25">
        <v>38</v>
      </c>
      <c r="D3" t="s" s="25">
        <v>36</v>
      </c>
      <c r="E3" t="s" s="25">
        <v>39</v>
      </c>
    </row>
    <row r="4" ht="20.7" customHeight="1">
      <c r="B4" s="9">
        <v>2014</v>
      </c>
      <c r="C4" s="26">
        <v>922.8099999999999</v>
      </c>
      <c r="D4" s="27">
        <v>36.28</v>
      </c>
      <c r="E4" s="28"/>
    </row>
    <row r="5" ht="20.7" customHeight="1">
      <c r="B5" s="13"/>
      <c r="C5" s="29">
        <v>1130</v>
      </c>
      <c r="D5" s="30">
        <v>48.96</v>
      </c>
      <c r="E5" s="31"/>
    </row>
    <row r="6" ht="20.7" customHeight="1">
      <c r="B6" s="13"/>
      <c r="C6" s="29">
        <v>834.17</v>
      </c>
      <c r="D6" s="30">
        <v>41.69</v>
      </c>
      <c r="E6" s="31"/>
    </row>
    <row r="7" ht="20.7" customHeight="1">
      <c r="B7" s="13"/>
      <c r="C7" s="29">
        <v>826.3</v>
      </c>
      <c r="D7" s="30">
        <v>41.58</v>
      </c>
      <c r="E7" s="31"/>
    </row>
    <row r="8" ht="20.7" customHeight="1">
      <c r="B8" s="13"/>
      <c r="C8" s="29">
        <v>674.38</v>
      </c>
      <c r="D8" s="30">
        <v>41.55</v>
      </c>
      <c r="E8" s="31"/>
    </row>
    <row r="9" ht="20.7" customHeight="1">
      <c r="B9" s="13"/>
      <c r="C9" s="29">
        <v>617.26</v>
      </c>
      <c r="D9" s="30">
        <v>48.01</v>
      </c>
      <c r="E9" s="31"/>
    </row>
    <row r="10" ht="20.7" customHeight="1">
      <c r="B10" s="13"/>
      <c r="C10" s="29">
        <v>540.25</v>
      </c>
      <c r="D10" s="30">
        <v>44.66</v>
      </c>
      <c r="E10" s="31"/>
    </row>
    <row r="11" ht="20.7" customHeight="1">
      <c r="B11" s="13"/>
      <c r="C11" s="29">
        <v>574.5700000000001</v>
      </c>
      <c r="D11" s="30">
        <v>53.94</v>
      </c>
      <c r="E11" s="31"/>
    </row>
    <row r="12" ht="20.7" customHeight="1">
      <c r="B12" s="13"/>
      <c r="C12" s="29">
        <v>664.74</v>
      </c>
      <c r="D12" s="30">
        <v>48.54</v>
      </c>
      <c r="E12" s="31"/>
    </row>
    <row r="13" ht="20.7" customHeight="1">
      <c r="B13" s="13"/>
      <c r="C13" s="29">
        <v>760.74</v>
      </c>
      <c r="D13" s="30">
        <v>48.34</v>
      </c>
      <c r="E13" s="31"/>
    </row>
    <row r="14" ht="20.7" customHeight="1">
      <c r="B14" s="13"/>
      <c r="C14" s="29">
        <v>538.66</v>
      </c>
      <c r="D14" s="30">
        <v>48.9</v>
      </c>
      <c r="E14" s="31"/>
    </row>
    <row r="15" ht="20.7" customHeight="1">
      <c r="B15" s="13"/>
      <c r="C15" s="29">
        <v>635.5</v>
      </c>
      <c r="D15" s="30">
        <v>44.48</v>
      </c>
      <c r="E15" s="31"/>
    </row>
    <row r="16" ht="20.7" customHeight="1">
      <c r="B16" s="17">
        <v>2015</v>
      </c>
      <c r="C16" s="29">
        <v>451.04</v>
      </c>
      <c r="D16" s="30">
        <v>40.72</v>
      </c>
      <c r="E16" s="31"/>
    </row>
    <row r="17" ht="20.7" customHeight="1">
      <c r="B17" s="13"/>
      <c r="C17" s="29">
        <v>533.59</v>
      </c>
      <c r="D17" s="30">
        <v>40.67</v>
      </c>
      <c r="E17" s="31"/>
    </row>
    <row r="18" ht="20.7" customHeight="1">
      <c r="B18" s="13"/>
      <c r="C18" s="29">
        <v>614.95</v>
      </c>
      <c r="D18" s="30">
        <v>37.75</v>
      </c>
      <c r="E18" s="31"/>
    </row>
    <row r="19" ht="20.7" customHeight="1">
      <c r="B19" s="13"/>
      <c r="C19" s="29">
        <v>494.73</v>
      </c>
      <c r="D19" s="30">
        <v>45.21</v>
      </c>
      <c r="E19" s="31"/>
    </row>
    <row r="20" ht="20.7" customHeight="1">
      <c r="B20" s="13"/>
      <c r="C20" s="29">
        <v>445.64</v>
      </c>
      <c r="D20" s="30">
        <v>50.16</v>
      </c>
      <c r="E20" s="31"/>
    </row>
    <row r="21" ht="20.7" customHeight="1">
      <c r="B21" s="13"/>
      <c r="C21" s="29">
        <v>327.37</v>
      </c>
      <c r="D21" s="30">
        <v>53.65</v>
      </c>
      <c r="E21" s="31"/>
    </row>
    <row r="22" ht="20.7" customHeight="1">
      <c r="B22" s="13"/>
      <c r="C22" s="29">
        <v>400.3</v>
      </c>
      <c r="D22" s="30">
        <v>53.23</v>
      </c>
      <c r="E22" s="31"/>
    </row>
    <row r="23" ht="20.7" customHeight="1">
      <c r="B23" s="13"/>
      <c r="C23" s="29">
        <v>576.38</v>
      </c>
      <c r="D23" s="30">
        <v>49.81</v>
      </c>
      <c r="E23" s="31"/>
    </row>
    <row r="24" ht="20.7" customHeight="1">
      <c r="B24" s="13"/>
      <c r="C24" s="29">
        <v>401.44</v>
      </c>
      <c r="D24" s="30">
        <v>49.68</v>
      </c>
      <c r="E24" s="31"/>
    </row>
    <row r="25" ht="20.7" customHeight="1">
      <c r="B25" s="13"/>
      <c r="C25" s="29">
        <v>504.27</v>
      </c>
      <c r="D25" s="30">
        <v>41.39</v>
      </c>
      <c r="E25" s="31"/>
    </row>
    <row r="26" ht="20.7" customHeight="1">
      <c r="B26" s="13"/>
      <c r="C26" s="29">
        <v>392.44</v>
      </c>
      <c r="D26" s="30">
        <v>46.05</v>
      </c>
      <c r="E26" s="31"/>
    </row>
    <row r="27" ht="20.7" customHeight="1">
      <c r="B27" s="13"/>
      <c r="C27" s="29">
        <v>299.26</v>
      </c>
      <c r="D27" s="30">
        <v>48</v>
      </c>
      <c r="E27" s="31"/>
    </row>
    <row r="28" ht="20.7" customHeight="1">
      <c r="B28" s="17">
        <v>2016</v>
      </c>
      <c r="C28" s="29">
        <v>396.24</v>
      </c>
      <c r="D28" s="30">
        <v>38.24</v>
      </c>
      <c r="E28" s="31"/>
    </row>
    <row r="29" ht="20.7" customHeight="1">
      <c r="B29" s="13"/>
      <c r="C29" s="29">
        <v>668.53</v>
      </c>
      <c r="D29" s="30">
        <v>38.39</v>
      </c>
      <c r="E29" s="31"/>
    </row>
    <row r="30" ht="20.7" customHeight="1">
      <c r="B30" s="13"/>
      <c r="C30" s="29">
        <v>514.65</v>
      </c>
      <c r="D30" s="30">
        <v>45.95</v>
      </c>
      <c r="E30" s="31"/>
    </row>
    <row r="31" ht="20.7" customHeight="1">
      <c r="B31" s="13"/>
      <c r="C31" s="29">
        <v>677.54</v>
      </c>
      <c r="D31" s="30">
        <v>48.15</v>
      </c>
      <c r="E31" s="31"/>
    </row>
    <row r="32" ht="20.7" customHeight="1">
      <c r="B32" s="13"/>
      <c r="C32" s="29">
        <v>516.5700000000001</v>
      </c>
      <c r="D32" s="30">
        <v>44.65</v>
      </c>
      <c r="E32" s="31"/>
    </row>
    <row r="33" ht="20.7" customHeight="1">
      <c r="B33" s="13"/>
      <c r="C33" s="29">
        <v>608.4400000000001</v>
      </c>
      <c r="D33" s="30">
        <v>42.46</v>
      </c>
      <c r="E33" s="31"/>
    </row>
    <row r="34" ht="20.7" customHeight="1">
      <c r="B34" s="13"/>
      <c r="C34" s="29">
        <v>370.34</v>
      </c>
      <c r="D34" s="30">
        <v>46.96</v>
      </c>
      <c r="E34" s="31"/>
    </row>
    <row r="35" ht="20.7" customHeight="1">
      <c r="B35" s="13"/>
      <c r="C35" s="29">
        <v>311.46</v>
      </c>
      <c r="D35" s="30">
        <v>42.4</v>
      </c>
      <c r="E35" s="31"/>
    </row>
    <row r="36" ht="20.7" customHeight="1">
      <c r="B36" s="13"/>
      <c r="C36" s="29">
        <v>353.22</v>
      </c>
      <c r="D36" s="30">
        <v>40.81</v>
      </c>
      <c r="E36" s="31"/>
    </row>
    <row r="37" ht="20.7" customHeight="1">
      <c r="B37" s="13"/>
      <c r="C37" s="29">
        <v>460.67</v>
      </c>
      <c r="D37" s="30">
        <v>39.55</v>
      </c>
      <c r="E37" s="31"/>
    </row>
    <row r="38" ht="20.7" customHeight="1">
      <c r="B38" s="13"/>
      <c r="C38" s="29">
        <v>494.43</v>
      </c>
      <c r="D38" s="30">
        <v>37.88</v>
      </c>
      <c r="E38" s="31"/>
    </row>
    <row r="39" ht="20.7" customHeight="1">
      <c r="B39" s="13"/>
      <c r="C39" s="29">
        <v>439.97</v>
      </c>
      <c r="D39" s="30">
        <v>42.74</v>
      </c>
      <c r="E39" s="31"/>
    </row>
    <row r="40" ht="20.7" customHeight="1">
      <c r="B40" s="17">
        <v>2017</v>
      </c>
      <c r="C40" s="29">
        <v>503.42</v>
      </c>
      <c r="D40" s="30">
        <v>50.39</v>
      </c>
      <c r="E40" s="31"/>
    </row>
    <row r="41" ht="20.7" customHeight="1">
      <c r="B41" s="13"/>
      <c r="C41" s="29">
        <v>597.7</v>
      </c>
      <c r="D41" s="30">
        <v>50</v>
      </c>
      <c r="E41" s="31"/>
    </row>
    <row r="42" ht="20.7" customHeight="1">
      <c r="B42" s="13"/>
      <c r="C42" s="29">
        <v>535.24</v>
      </c>
      <c r="D42" s="30">
        <v>55.66</v>
      </c>
      <c r="E42" s="31"/>
    </row>
    <row r="43" ht="20.7" customHeight="1">
      <c r="B43" s="13"/>
      <c r="C43" s="29">
        <v>584.75</v>
      </c>
      <c r="D43" s="30">
        <v>62.81</v>
      </c>
      <c r="E43" s="31"/>
    </row>
    <row r="44" ht="20.7" customHeight="1">
      <c r="B44" s="13"/>
      <c r="C44" s="29">
        <v>740.27</v>
      </c>
      <c r="D44" s="30">
        <v>68.2</v>
      </c>
      <c r="E44" s="31"/>
    </row>
    <row r="45" ht="20.7" customHeight="1">
      <c r="B45" s="13"/>
      <c r="C45" s="29">
        <v>929.76</v>
      </c>
      <c r="D45" s="30">
        <v>72.31999999999999</v>
      </c>
      <c r="E45" s="31"/>
    </row>
    <row r="46" ht="20.7" customHeight="1">
      <c r="B46" s="13"/>
      <c r="C46" s="29">
        <v>908.2</v>
      </c>
      <c r="D46" s="30">
        <v>64.69</v>
      </c>
      <c r="E46" s="31"/>
    </row>
    <row r="47" ht="20.7" customHeight="1">
      <c r="B47" s="13"/>
      <c r="C47" s="29">
        <v>684.71</v>
      </c>
      <c r="D47" s="30">
        <v>71.18000000000001</v>
      </c>
      <c r="E47" s="31"/>
    </row>
    <row r="48" ht="20.7" customHeight="1">
      <c r="B48" s="13"/>
      <c r="C48" s="29">
        <v>557.63</v>
      </c>
      <c r="D48" s="30">
        <v>68.22</v>
      </c>
      <c r="E48" s="31"/>
    </row>
    <row r="49" ht="20.7" customHeight="1">
      <c r="B49" s="13"/>
      <c r="C49" s="29">
        <v>615.1799999999999</v>
      </c>
      <c r="D49" s="30">
        <v>66.31</v>
      </c>
      <c r="E49" s="31"/>
    </row>
    <row r="50" ht="20.7" customHeight="1">
      <c r="B50" s="13"/>
      <c r="C50" s="29">
        <v>744.0599999999999</v>
      </c>
      <c r="D50" s="30">
        <v>61.77</v>
      </c>
      <c r="E50" s="31"/>
    </row>
    <row r="51" ht="20.7" customHeight="1">
      <c r="B51" s="13"/>
      <c r="C51" s="29">
        <v>549.42</v>
      </c>
      <c r="D51" s="30">
        <v>62.27</v>
      </c>
      <c r="E51" s="31"/>
    </row>
    <row r="52" ht="20.7" customHeight="1">
      <c r="B52" s="17">
        <v>2018</v>
      </c>
      <c r="C52" s="29">
        <v>621.36</v>
      </c>
      <c r="D52" s="30">
        <v>70.86</v>
      </c>
      <c r="E52" s="31"/>
    </row>
    <row r="53" ht="20.7" customHeight="1">
      <c r="B53" s="13"/>
      <c r="C53" s="29">
        <v>545.95</v>
      </c>
      <c r="D53" s="30">
        <v>68.61</v>
      </c>
      <c r="E53" s="31"/>
    </row>
    <row r="54" ht="20.7" customHeight="1">
      <c r="B54" s="13"/>
      <c r="C54" s="29">
        <v>786.34</v>
      </c>
      <c r="D54" s="30">
        <v>53.23</v>
      </c>
      <c r="E54" s="31"/>
    </row>
    <row r="55" ht="20.7" customHeight="1">
      <c r="B55" s="13"/>
      <c r="C55" s="29">
        <v>951.73</v>
      </c>
      <c r="D55" s="30">
        <v>58.78</v>
      </c>
      <c r="E55" s="31"/>
    </row>
    <row r="56" ht="20.7" customHeight="1">
      <c r="B56" s="13"/>
      <c r="C56" s="29">
        <v>777.89</v>
      </c>
      <c r="D56" s="30">
        <v>56.95</v>
      </c>
      <c r="E56" s="31"/>
    </row>
    <row r="57" ht="20.7" customHeight="1">
      <c r="B57" s="13"/>
      <c r="C57" s="29">
        <v>1070</v>
      </c>
      <c r="D57" s="30">
        <v>68.59</v>
      </c>
      <c r="E57" s="31"/>
    </row>
    <row r="58" ht="20.7" customHeight="1">
      <c r="B58" s="13"/>
      <c r="C58" s="29">
        <v>861.79</v>
      </c>
      <c r="D58" s="30">
        <v>59.63</v>
      </c>
      <c r="E58" s="31"/>
    </row>
    <row r="59" ht="20.7" customHeight="1">
      <c r="B59" s="13"/>
      <c r="C59" s="29">
        <v>1390</v>
      </c>
      <c r="D59" s="30">
        <v>60.33</v>
      </c>
      <c r="E59" s="31"/>
    </row>
    <row r="60" ht="20.7" customHeight="1">
      <c r="B60" s="13"/>
      <c r="C60" s="29">
        <v>980.38</v>
      </c>
      <c r="D60" s="30">
        <v>52.95</v>
      </c>
      <c r="E60" s="31"/>
    </row>
    <row r="61" ht="20.7" customHeight="1">
      <c r="B61" s="13"/>
      <c r="C61" s="29">
        <v>1430</v>
      </c>
      <c r="D61" s="30">
        <v>67.45999999999999</v>
      </c>
      <c r="E61" s="31"/>
    </row>
    <row r="62" ht="20.7" customHeight="1">
      <c r="B62" s="13"/>
      <c r="C62" s="29">
        <v>665.1</v>
      </c>
      <c r="D62" s="30">
        <v>70.09999999999999</v>
      </c>
      <c r="E62" s="31"/>
    </row>
    <row r="63" ht="20.7" customHeight="1">
      <c r="B63" s="13"/>
      <c r="C63" s="29">
        <v>732.26</v>
      </c>
      <c r="D63" s="30">
        <v>66.56</v>
      </c>
      <c r="E63" s="31"/>
    </row>
    <row r="64" ht="20.7" customHeight="1">
      <c r="B64" s="17">
        <v>2019</v>
      </c>
      <c r="C64" s="29">
        <v>878.3</v>
      </c>
      <c r="D64" s="30">
        <v>61.4</v>
      </c>
      <c r="E64" s="31"/>
    </row>
    <row r="65" ht="20.7" customHeight="1">
      <c r="B65" s="13"/>
      <c r="C65" s="29">
        <v>642.75</v>
      </c>
      <c r="D65" s="30">
        <v>63.98</v>
      </c>
      <c r="E65" s="31"/>
    </row>
    <row r="66" ht="20.7" customHeight="1">
      <c r="B66" s="13"/>
      <c r="C66" s="29">
        <v>1070</v>
      </c>
      <c r="D66" s="30">
        <v>55.97</v>
      </c>
      <c r="E66" s="31"/>
    </row>
    <row r="67" ht="20.7" customHeight="1">
      <c r="B67" s="13"/>
      <c r="C67" s="29">
        <v>1150</v>
      </c>
      <c r="D67" s="30">
        <v>47.74</v>
      </c>
      <c r="E67" s="31"/>
    </row>
    <row r="68" ht="20.7" customHeight="1">
      <c r="B68" s="13"/>
      <c r="C68" s="29">
        <v>1410</v>
      </c>
      <c r="D68" s="30">
        <v>37.03</v>
      </c>
      <c r="E68" s="32"/>
    </row>
    <row r="69" ht="20.7" customHeight="1">
      <c r="B69" s="13"/>
      <c r="C69" s="29">
        <v>1070</v>
      </c>
      <c r="D69" s="30">
        <v>44.69</v>
      </c>
      <c r="E69" s="32"/>
    </row>
    <row r="70" ht="20.7" customHeight="1">
      <c r="B70" s="13"/>
      <c r="C70" s="29">
        <v>996.86</v>
      </c>
      <c r="D70" s="30">
        <v>48.32</v>
      </c>
      <c r="E70" s="31"/>
    </row>
    <row r="71" ht="20.7" customHeight="1">
      <c r="B71" s="13"/>
      <c r="C71" s="29">
        <v>670.52</v>
      </c>
      <c r="D71" s="30">
        <v>45.12</v>
      </c>
      <c r="E71" s="31"/>
    </row>
    <row r="72" ht="20.35" customHeight="1">
      <c r="B72" s="13"/>
      <c r="C72" s="29">
        <v>682.8200000000001</v>
      </c>
      <c r="D72" s="30">
        <v>48.17</v>
      </c>
      <c r="E72" s="33"/>
    </row>
    <row r="73" ht="20.05" customHeight="1">
      <c r="B73" s="13"/>
      <c r="C73" s="29">
        <v>1180</v>
      </c>
      <c r="D73" s="30">
        <v>62.98</v>
      </c>
      <c r="E73" s="18"/>
    </row>
    <row r="74" ht="20.05" customHeight="1">
      <c r="B74" s="13"/>
      <c r="C74" s="29">
        <v>789.46</v>
      </c>
      <c r="D74" s="30">
        <v>65.98999999999999</v>
      </c>
      <c r="E74" s="18"/>
    </row>
    <row r="75" ht="20.05" customHeight="1">
      <c r="B75" s="13"/>
      <c r="C75" s="29">
        <v>1040</v>
      </c>
      <c r="D75" s="30">
        <v>83.67</v>
      </c>
      <c r="E75" s="18"/>
    </row>
    <row r="76" ht="20.05" customHeight="1">
      <c r="B76" s="17">
        <v>2020</v>
      </c>
      <c r="C76" s="29">
        <v>2040</v>
      </c>
      <c r="D76" s="30">
        <v>130.11</v>
      </c>
      <c r="E76" s="18"/>
    </row>
    <row r="77" ht="20.05" customHeight="1">
      <c r="B77" s="13"/>
      <c r="C77" s="29">
        <v>2370</v>
      </c>
      <c r="D77" s="30">
        <v>133.6</v>
      </c>
      <c r="E77" s="18"/>
    </row>
    <row r="78" ht="20.05" customHeight="1">
      <c r="B78" s="13"/>
      <c r="C78" s="29">
        <v>2110</v>
      </c>
      <c r="D78" s="30">
        <v>104.8</v>
      </c>
      <c r="E78" s="18"/>
    </row>
    <row r="79" ht="20.05" customHeight="1">
      <c r="B79" s="13"/>
      <c r="C79" s="29">
        <v>1910</v>
      </c>
      <c r="D79" s="30">
        <v>156.38</v>
      </c>
      <c r="E79" s="21">
        <f>'Valuation  - Valuation'!C10</f>
        <v>200</v>
      </c>
    </row>
    <row r="80" ht="20.05" customHeight="1">
      <c r="B80" s="13"/>
      <c r="C80" s="29">
        <v>1360</v>
      </c>
      <c r="D80" s="30">
        <v>167</v>
      </c>
      <c r="E80" s="21">
        <v>200</v>
      </c>
    </row>
    <row r="81" ht="20.05" customHeight="1">
      <c r="B81" s="13"/>
      <c r="C81" s="29">
        <v>1280</v>
      </c>
      <c r="D81" s="30">
        <v>215.96</v>
      </c>
      <c r="E81" s="21">
        <v>200</v>
      </c>
    </row>
    <row r="82" ht="20.05" customHeight="1">
      <c r="B82" s="13"/>
      <c r="C82" s="29">
        <v>1890</v>
      </c>
      <c r="D82" s="30">
        <v>286.15</v>
      </c>
      <c r="E82" s="21">
        <f>'Valuation  - Valuation'!D10</f>
        <v>399.243473844591</v>
      </c>
    </row>
    <row r="83" ht="20.05" customHeight="1">
      <c r="B83" s="13"/>
      <c r="C83" s="29">
        <v>1560</v>
      </c>
      <c r="D83" s="30">
        <v>498.32</v>
      </c>
      <c r="E83" s="21">
        <v>399.243473844591</v>
      </c>
    </row>
    <row r="84" ht="20.05" customHeight="1">
      <c r="B84" s="13"/>
      <c r="C84" s="34">
        <v>1646.4437</v>
      </c>
      <c r="D84" s="35">
        <v>429.01001</v>
      </c>
      <c r="E84" s="21">
        <v>399.243473844591</v>
      </c>
    </row>
    <row r="85" ht="20.05" customHeight="1">
      <c r="B85" s="13"/>
      <c r="C85" s="34">
        <v>711.6606</v>
      </c>
      <c r="D85" s="35">
        <v>388.040009</v>
      </c>
      <c r="E85" s="21">
        <f>'Valuation  - Valuation'!E10</f>
        <v>448.343981716608</v>
      </c>
    </row>
    <row r="86" ht="20.05" customHeight="1">
      <c r="B86" s="13"/>
      <c r="C86" s="34">
        <v>782.5988</v>
      </c>
      <c r="D86" s="35">
        <v>567.599976</v>
      </c>
      <c r="E86" s="21">
        <v>399.243473844591</v>
      </c>
    </row>
    <row r="87" ht="20.05" customHeight="1">
      <c r="B87" s="13"/>
      <c r="C87" s="34">
        <v>1108.5399</v>
      </c>
      <c r="D87" s="35">
        <v>705.669983</v>
      </c>
      <c r="E87" s="21">
        <v>399.243473844591</v>
      </c>
    </row>
    <row r="88" ht="20.05" customHeight="1">
      <c r="B88" s="13"/>
      <c r="C88" s="34">
        <v>754.981554</v>
      </c>
      <c r="D88" s="35">
        <v>793.530029</v>
      </c>
      <c r="E88" s="21">
        <f>'Valuation  - Valuation'!F10</f>
        <v>433.483773630569</v>
      </c>
    </row>
    <row r="89" ht="20.05" customHeight="1">
      <c r="B89" s="13"/>
      <c r="C89" s="34"/>
      <c r="D89" s="35"/>
      <c r="E89" s="21">
        <f>'Valuation  - Valuation'!F10</f>
        <v>433.483773630569</v>
      </c>
    </row>
  </sheetData>
  <mergeCells count="1">
    <mergeCell ref="B2:E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B3:F33"/>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6.53906" style="36" customWidth="1"/>
    <col min="2" max="2" width="19.4297" style="36" customWidth="1"/>
    <col min="3" max="6" width="8.26562" style="36" customWidth="1"/>
    <col min="7" max="16384" width="16.3516" style="36" customWidth="1"/>
  </cols>
  <sheetData>
    <row r="1" ht="23.8" customHeight="1"/>
    <row r="2" ht="27.65" customHeight="1">
      <c r="B2" t="s" s="7">
        <v>41</v>
      </c>
      <c r="C2" s="7"/>
      <c r="D2" s="7"/>
      <c r="E2" s="7"/>
      <c r="F2" s="7"/>
    </row>
    <row r="3" ht="20.25" customHeight="1">
      <c r="B3" t="s" s="37">
        <v>7</v>
      </c>
      <c r="C3" t="s" s="37">
        <v>43</v>
      </c>
      <c r="D3" t="s" s="37">
        <v>44</v>
      </c>
      <c r="E3" t="s" s="37">
        <v>45</v>
      </c>
      <c r="F3" t="s" s="37">
        <v>46</v>
      </c>
    </row>
    <row r="4" ht="20.25" customHeight="1">
      <c r="B4" t="s" s="38">
        <v>47</v>
      </c>
      <c r="C4" s="39"/>
      <c r="D4" s="40"/>
      <c r="E4" s="40"/>
      <c r="F4" s="40"/>
    </row>
    <row r="5" ht="20.05" customHeight="1">
      <c r="B5" t="s" s="41">
        <v>48</v>
      </c>
      <c r="C5" s="42">
        <v>-0.02</v>
      </c>
      <c r="D5" s="19">
        <v>0.05</v>
      </c>
      <c r="E5" s="19">
        <v>0.05</v>
      </c>
      <c r="F5" s="43">
        <v>0.1</v>
      </c>
    </row>
    <row r="6" ht="20.05" customHeight="1">
      <c r="B6" t="s" s="41">
        <v>4</v>
      </c>
      <c r="C6" s="14">
        <f>'Sales - Profit quarterly'!D27*(1+C5)</f>
        <v>10529.12</v>
      </c>
      <c r="D6" s="15">
        <f>C6*(1+D5)</f>
        <v>11055.576</v>
      </c>
      <c r="E6" s="15">
        <f>D6*(1+E5)</f>
        <v>11608.3548</v>
      </c>
      <c r="F6" s="15">
        <f>E6*(1+F5)</f>
        <v>12769.19028</v>
      </c>
    </row>
    <row r="7" ht="20.05" customHeight="1">
      <c r="B7" t="s" s="41">
        <v>49</v>
      </c>
      <c r="C7" s="42">
        <f>AVERAGE('Sales - Profit quarterly'!G24:G27)</f>
        <v>-0.816164044747581</v>
      </c>
      <c r="D7" s="19">
        <f>C7</f>
        <v>-0.816164044747581</v>
      </c>
      <c r="E7" s="19">
        <f>D7</f>
        <v>-0.816164044747581</v>
      </c>
      <c r="F7" s="19">
        <f>E7</f>
        <v>-0.816164044747581</v>
      </c>
    </row>
    <row r="8" ht="20.05" customHeight="1">
      <c r="B8" t="s" s="41">
        <v>50</v>
      </c>
      <c r="C8" s="14">
        <f>C7*C6</f>
        <v>-8593.489166832651</v>
      </c>
      <c r="D8" s="15">
        <f>D7*D6</f>
        <v>-9023.163625174280</v>
      </c>
      <c r="E8" s="15">
        <f>E7*E6</f>
        <v>-9474.321806432999</v>
      </c>
      <c r="F8" s="15">
        <f>F7*F6</f>
        <v>-10421.7539870763</v>
      </c>
    </row>
    <row r="9" ht="20.05" customHeight="1">
      <c r="B9" t="s" s="41">
        <v>51</v>
      </c>
      <c r="C9" s="14">
        <f>C6+C8</f>
        <v>1935.630833167350</v>
      </c>
      <c r="D9" s="15">
        <f>D6+D8</f>
        <v>2032.412374825720</v>
      </c>
      <c r="E9" s="15">
        <f>E6+E8</f>
        <v>2134.032993567</v>
      </c>
      <c r="F9" s="15">
        <f>F6+F8</f>
        <v>2347.4362929237</v>
      </c>
    </row>
    <row r="10" ht="20.05" customHeight="1">
      <c r="B10" t="s" s="41">
        <v>52</v>
      </c>
      <c r="C10" s="14">
        <f>AVERAGE('Cash Flow - Cash Flow quarterly'!F25:F27)</f>
        <v>-900.666666666667</v>
      </c>
      <c r="D10" s="15">
        <f>C10</f>
        <v>-900.666666666667</v>
      </c>
      <c r="E10" s="15">
        <f>D10</f>
        <v>-900.666666666667</v>
      </c>
      <c r="F10" s="15">
        <f>E10</f>
        <v>-900.666666666667</v>
      </c>
    </row>
    <row r="11" ht="20.05" customHeight="1">
      <c r="B11" t="s" s="41">
        <v>53</v>
      </c>
      <c r="C11" s="14">
        <f>C12+C13+C15</f>
        <v>-1034.964166500680</v>
      </c>
      <c r="D11" s="15">
        <f>D12+D13+D15</f>
        <v>-1131.745708159050</v>
      </c>
      <c r="E11" s="15">
        <f>E12+E13+E15</f>
        <v>-1233.366326900330</v>
      </c>
      <c r="F11" s="15">
        <f>F12+F13+F15</f>
        <v>-1446.769626257030</v>
      </c>
    </row>
    <row r="12" ht="20.05" customHeight="1">
      <c r="B12" t="s" s="41">
        <v>30</v>
      </c>
      <c r="C12" s="14">
        <f>-'Balance sheet - Balance sheet'!G27/20</f>
        <v>-1453.65</v>
      </c>
      <c r="D12" s="15">
        <f>-C29/20</f>
        <v>-1380.9675</v>
      </c>
      <c r="E12" s="15">
        <f>-D29/20</f>
        <v>-1311.919125</v>
      </c>
      <c r="F12" s="15">
        <f>-E29/20</f>
        <v>-1246.32316875</v>
      </c>
    </row>
    <row r="13" ht="20.05" customHeight="1">
      <c r="B13" t="s" s="41">
        <v>31</v>
      </c>
      <c r="C13" s="14">
        <f>IF(C23&gt;0,-C23*0.5,0)</f>
        <v>-227.315416583675</v>
      </c>
      <c r="D13" s="15">
        <f>IF(D23&gt;0,-D23*0.5,0)</f>
        <v>-275.706187412860</v>
      </c>
      <c r="E13" s="15">
        <f>IF(E23&gt;0,-E23*0.5,0)</f>
        <v>-326.5164967835</v>
      </c>
      <c r="F13" s="15">
        <f>IF(F23&gt;0,-F23*0.5,0)</f>
        <v>-433.218146461850</v>
      </c>
    </row>
    <row r="14" ht="32.05" customHeight="1">
      <c r="B14" t="s" s="41">
        <v>54</v>
      </c>
      <c r="C14" s="14">
        <f>C9+C10+C12+C13</f>
        <v>-646.001250082992</v>
      </c>
      <c r="D14" s="15">
        <f>D9+D10+D12+D13</f>
        <v>-524.9279792538071</v>
      </c>
      <c r="E14" s="15">
        <f>E9+E10+E12+E13</f>
        <v>-405.069294883167</v>
      </c>
      <c r="F14" s="15">
        <f>F9+F10+F12+F13</f>
        <v>-232.771688954817</v>
      </c>
    </row>
    <row r="15" ht="20.05" customHeight="1">
      <c r="B15" t="s" s="41">
        <v>55</v>
      </c>
      <c r="C15" s="14">
        <f>-MIN(0,C14)</f>
        <v>646.001250082992</v>
      </c>
      <c r="D15" s="15">
        <f>-MIN(C30,D14)</f>
        <v>524.9279792538071</v>
      </c>
      <c r="E15" s="15">
        <f>-MIN(D30,E14)</f>
        <v>405.069294883167</v>
      </c>
      <c r="F15" s="15">
        <f>-MIN(E30,F14)</f>
        <v>232.771688954817</v>
      </c>
    </row>
    <row r="16" ht="20.05" customHeight="1">
      <c r="B16" t="s" s="41">
        <v>56</v>
      </c>
      <c r="C16" s="14">
        <f>'Balance sheet - Balance sheet'!C27</f>
        <v>19384</v>
      </c>
      <c r="D16" s="15">
        <f>C18</f>
        <v>19384</v>
      </c>
      <c r="E16" s="15">
        <f>D18</f>
        <v>19384</v>
      </c>
      <c r="F16" s="15">
        <f>E18</f>
        <v>19384</v>
      </c>
    </row>
    <row r="17" ht="20.05" customHeight="1">
      <c r="B17" t="s" s="41">
        <v>57</v>
      </c>
      <c r="C17" s="14">
        <f>C9+C10+C11</f>
        <v>3e-12</v>
      </c>
      <c r="D17" s="15">
        <f>D9+D10+D11</f>
        <v>3e-12</v>
      </c>
      <c r="E17" s="15">
        <f>E9+E10+E11</f>
        <v>3e-12</v>
      </c>
      <c r="F17" s="15">
        <f>F9+F10+F11</f>
        <v>3e-12</v>
      </c>
    </row>
    <row r="18" ht="20.05" customHeight="1">
      <c r="B18" t="s" s="41">
        <v>58</v>
      </c>
      <c r="C18" s="14">
        <f>C16+C17</f>
        <v>19384</v>
      </c>
      <c r="D18" s="15">
        <f>D16+D17</f>
        <v>19384</v>
      </c>
      <c r="E18" s="15">
        <f>E16+E17</f>
        <v>19384</v>
      </c>
      <c r="F18" s="15">
        <f>F16+F17</f>
        <v>19384</v>
      </c>
    </row>
    <row r="19" ht="20.05" customHeight="1">
      <c r="B19" t="s" s="44">
        <v>59</v>
      </c>
      <c r="C19" s="45"/>
      <c r="D19" s="18"/>
      <c r="E19" s="15">
        <f>SUM('Sales - Profit quarterly'!D24:D27)</f>
        <v>31536</v>
      </c>
      <c r="F19" s="15">
        <f>SUM(C20:F20)</f>
        <v>45962.24108</v>
      </c>
    </row>
    <row r="20" ht="20.05" customHeight="1">
      <c r="B20" t="s" s="41">
        <v>4</v>
      </c>
      <c r="C20" s="14">
        <f>C6</f>
        <v>10529.12</v>
      </c>
      <c r="D20" s="15">
        <f>D6</f>
        <v>11055.576</v>
      </c>
      <c r="E20" s="15">
        <f>E6</f>
        <v>11608.3548</v>
      </c>
      <c r="F20" s="15">
        <f>F6</f>
        <v>12769.19028</v>
      </c>
    </row>
    <row r="21" ht="20.05" customHeight="1">
      <c r="B21" t="s" s="41">
        <v>60</v>
      </c>
      <c r="C21" s="14">
        <f>-AVERAGE('Cash Flow - Cash Flow quarterly'!D27)</f>
        <v>-1481</v>
      </c>
      <c r="D21" s="15">
        <f>C21</f>
        <v>-1481</v>
      </c>
      <c r="E21" s="15">
        <f>D21</f>
        <v>-1481</v>
      </c>
      <c r="F21" s="15">
        <f>E21</f>
        <v>-1481</v>
      </c>
    </row>
    <row r="22" ht="20.05" customHeight="1">
      <c r="B22" t="s" s="41">
        <v>61</v>
      </c>
      <c r="C22" s="14">
        <f>C8</f>
        <v>-8593.489166832651</v>
      </c>
      <c r="D22" s="15">
        <f>D8</f>
        <v>-9023.163625174280</v>
      </c>
      <c r="E22" s="15">
        <f>E8</f>
        <v>-9474.321806432999</v>
      </c>
      <c r="F22" s="15">
        <f>F8</f>
        <v>-10421.7539870763</v>
      </c>
    </row>
    <row r="23" ht="20.05" customHeight="1">
      <c r="B23" t="s" s="41">
        <v>15</v>
      </c>
      <c r="C23" s="14">
        <f>SUM(C20:C22)</f>
        <v>454.630833167350</v>
      </c>
      <c r="D23" s="15">
        <f>SUM(D20:D22)</f>
        <v>551.412374825720</v>
      </c>
      <c r="E23" s="15">
        <f>SUM(E20:E22)</f>
        <v>653.0329935669999</v>
      </c>
      <c r="F23" s="15">
        <f>SUM(F20:F22)</f>
        <v>866.4362929237</v>
      </c>
    </row>
    <row r="24" ht="20.05" customHeight="1">
      <c r="B24" t="s" s="46">
        <v>24</v>
      </c>
      <c r="C24" s="45"/>
      <c r="D24" s="18"/>
      <c r="E24" s="15">
        <f>SUM('Cash Flow - Cash Flow quarterly'!C24:C27)</f>
        <v>862</v>
      </c>
      <c r="F24" s="15">
        <f>SUM(C23:F23)</f>
        <v>2525.512494483770</v>
      </c>
    </row>
    <row r="25" ht="20.05" customHeight="1">
      <c r="B25" t="s" s="41">
        <v>26</v>
      </c>
      <c r="C25" s="14">
        <f>C18</f>
        <v>19384</v>
      </c>
      <c r="D25" s="15">
        <f>D18</f>
        <v>19384</v>
      </c>
      <c r="E25" s="15">
        <f>E18</f>
        <v>19384</v>
      </c>
      <c r="F25" s="15">
        <f>F18</f>
        <v>19384</v>
      </c>
    </row>
    <row r="26" ht="20.05" customHeight="1">
      <c r="B26" t="s" s="41">
        <v>28</v>
      </c>
      <c r="C26" s="14">
        <f>'Balance sheet - Balance sheet'!F27+'Balance sheet - Balance sheet'!E27-C10</f>
        <v>46761.1666666667</v>
      </c>
      <c r="D26" s="15">
        <f>C26-D10</f>
        <v>47661.8333333334</v>
      </c>
      <c r="E26" s="15">
        <f>D26-E10</f>
        <v>48562.5000000001</v>
      </c>
      <c r="F26" s="15">
        <f>E26-F10</f>
        <v>49463.1666666668</v>
      </c>
    </row>
    <row r="27" ht="20.05" customHeight="1">
      <c r="B27" t="s" s="41">
        <v>29</v>
      </c>
      <c r="C27" s="14">
        <f>'Balance sheet - Balance sheet'!F27-C21</f>
        <v>14577.5</v>
      </c>
      <c r="D27" s="15">
        <f>C27-D21</f>
        <v>16058.5</v>
      </c>
      <c r="E27" s="15">
        <f>D27-E21</f>
        <v>17539.5</v>
      </c>
      <c r="F27" s="15">
        <f>E27-F21</f>
        <v>19020.5</v>
      </c>
    </row>
    <row r="28" ht="20.05" customHeight="1">
      <c r="B28" t="s" s="41">
        <v>62</v>
      </c>
      <c r="C28" s="14">
        <f>C26-C27</f>
        <v>32183.6666666667</v>
      </c>
      <c r="D28" s="15">
        <f>D26-D27</f>
        <v>31603.3333333334</v>
      </c>
      <c r="E28" s="15">
        <f>E26-E27</f>
        <v>31023.0000000001</v>
      </c>
      <c r="F28" s="15">
        <f>F26-F27</f>
        <v>30442.6666666668</v>
      </c>
    </row>
    <row r="29" ht="20.05" customHeight="1">
      <c r="B29" t="s" s="41">
        <v>30</v>
      </c>
      <c r="C29" s="14">
        <f>'Balance sheet - Balance sheet'!G27+C12</f>
        <v>27619.35</v>
      </c>
      <c r="D29" s="15">
        <f>C29+D12</f>
        <v>26238.3825</v>
      </c>
      <c r="E29" s="15">
        <f>D29+E12</f>
        <v>24926.463375</v>
      </c>
      <c r="F29" s="15">
        <f>E29+F12</f>
        <v>23680.14020625</v>
      </c>
    </row>
    <row r="30" ht="20.05" customHeight="1">
      <c r="B30" t="s" s="41">
        <v>55</v>
      </c>
      <c r="C30" s="14">
        <f>C15</f>
        <v>646.001250082992</v>
      </c>
      <c r="D30" s="15">
        <f>C30+D15</f>
        <v>1170.9292293368</v>
      </c>
      <c r="E30" s="15">
        <f>D30+E15</f>
        <v>1575.998524219970</v>
      </c>
      <c r="F30" s="15">
        <f>E30+F15</f>
        <v>1808.770213174790</v>
      </c>
    </row>
    <row r="31" ht="20.05" customHeight="1">
      <c r="B31" t="s" s="41">
        <v>63</v>
      </c>
      <c r="C31" s="14">
        <f>'Balance sheet - Balance sheet'!H27+C23+C13</f>
        <v>22452.3154165837</v>
      </c>
      <c r="D31" s="15">
        <f>C31+D23+D13</f>
        <v>22728.0216039966</v>
      </c>
      <c r="E31" s="15">
        <f>D31+E23+E13</f>
        <v>23054.5381007801</v>
      </c>
      <c r="F31" s="15">
        <f>E31+F23+F13</f>
        <v>23487.756247242</v>
      </c>
    </row>
    <row r="32" ht="20.05" customHeight="1">
      <c r="B32" t="s" s="41">
        <v>64</v>
      </c>
      <c r="C32" s="14">
        <f>'Balance sheet - Balance sheet'!I27</f>
        <v>850</v>
      </c>
      <c r="D32" s="15">
        <f>C32</f>
        <v>850</v>
      </c>
      <c r="E32" s="15">
        <f>D32</f>
        <v>850</v>
      </c>
      <c r="F32" s="15">
        <f>E32</f>
        <v>850</v>
      </c>
    </row>
    <row r="33" ht="20.05" customHeight="1">
      <c r="B33" t="s" s="41">
        <v>65</v>
      </c>
      <c r="C33" s="14">
        <f>C29+C30+C31+C32-C25-C28</f>
        <v>-8e-12</v>
      </c>
      <c r="D33" s="15">
        <f>D29+D30+D31+D32-D25-D28</f>
        <v>0</v>
      </c>
      <c r="E33" s="15">
        <f>E29+E30+E31+E32-E25-E28</f>
        <v>-3e-11</v>
      </c>
      <c r="F33" s="15">
        <f>F29+F30+F31+F32-F25-F28</f>
        <v>-9.999999999999999e-12</v>
      </c>
    </row>
  </sheetData>
  <mergeCells count="1">
    <mergeCell ref="B2:F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dimension ref="B3:F18"/>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8.07031" style="47" customWidth="1"/>
    <col min="2" max="2" width="13.7656" style="47" customWidth="1"/>
    <col min="3" max="6" width="8.53125" style="47" customWidth="1"/>
    <col min="7" max="16384" width="16.3516" style="47" customWidth="1"/>
  </cols>
  <sheetData>
    <row r="1" ht="14.8" customHeight="1"/>
    <row r="2" ht="27.65" customHeight="1">
      <c r="B2" t="s" s="7">
        <v>67</v>
      </c>
      <c r="C2" s="7"/>
      <c r="D2" s="7"/>
      <c r="E2" s="7"/>
      <c r="F2" s="7"/>
    </row>
    <row r="3" ht="20.25" customHeight="1">
      <c r="B3" s="24"/>
      <c r="C3" s="48">
        <v>44317</v>
      </c>
      <c r="D3" s="48">
        <v>44378</v>
      </c>
      <c r="E3" s="48">
        <v>44470</v>
      </c>
      <c r="F3" s="48">
        <v>44197</v>
      </c>
    </row>
    <row r="4" ht="20.25" customHeight="1">
      <c r="B4" t="s" s="49">
        <v>69</v>
      </c>
      <c r="C4" s="50"/>
      <c r="D4" s="51">
        <v>4464</v>
      </c>
      <c r="E4" s="51">
        <v>5013</v>
      </c>
      <c r="F4" s="11">
        <f>SUM('Model - Financial model'!C9:F10)</f>
        <v>4846.8458278171</v>
      </c>
    </row>
    <row r="5" ht="20.05" customHeight="1">
      <c r="B5" t="s" s="41">
        <v>66</v>
      </c>
      <c r="C5" s="45"/>
      <c r="D5" s="52">
        <v>0.012</v>
      </c>
      <c r="E5" s="52">
        <v>0.012</v>
      </c>
      <c r="F5" s="52">
        <v>0.012</v>
      </c>
    </row>
    <row r="6" ht="20.05" customHeight="1">
      <c r="B6" t="s" s="41">
        <v>70</v>
      </c>
      <c r="C6" s="45"/>
      <c r="D6" s="35">
        <f>D4/D5</f>
        <v>372000</v>
      </c>
      <c r="E6" s="35">
        <f>E4/E5</f>
        <v>417750</v>
      </c>
      <c r="F6" s="15">
        <f>F4/F5</f>
        <v>403903.818984758</v>
      </c>
    </row>
    <row r="7" ht="20.05" customHeight="1">
      <c r="B7" t="s" s="41">
        <v>71</v>
      </c>
      <c r="C7" s="45"/>
      <c r="D7" s="21">
        <v>1</v>
      </c>
      <c r="E7" s="21">
        <v>1</v>
      </c>
      <c r="F7" s="21">
        <v>1</v>
      </c>
    </row>
    <row r="8" ht="20.05" customHeight="1">
      <c r="B8" t="s" s="41">
        <v>72</v>
      </c>
      <c r="C8" s="45"/>
      <c r="D8" s="35">
        <f>D6*D7</f>
        <v>372000</v>
      </c>
      <c r="E8" s="35">
        <f>E6*E7</f>
        <v>417750</v>
      </c>
      <c r="F8" s="15">
        <f>F6*F7</f>
        <v>403903.818984758</v>
      </c>
    </row>
    <row r="9" ht="20.05" customHeight="1">
      <c r="B9" t="s" s="41">
        <v>73</v>
      </c>
      <c r="C9" s="45"/>
      <c r="D9" s="53">
        <f t="shared" si="7" ref="D9:F9">393800/422.64</f>
        <v>931.762256293772</v>
      </c>
      <c r="E9" s="53">
        <f t="shared" si="7"/>
        <v>931.762256293772</v>
      </c>
      <c r="F9" s="53">
        <f t="shared" si="7"/>
        <v>931.762256293772</v>
      </c>
    </row>
    <row r="10" ht="20.05" customHeight="1">
      <c r="B10" t="s" s="41">
        <v>74</v>
      </c>
      <c r="C10" s="54">
        <v>200</v>
      </c>
      <c r="D10" s="35">
        <f>D8/D9</f>
        <v>399.243473844591</v>
      </c>
      <c r="E10" s="35">
        <f>E8/E9</f>
        <v>448.343981716608</v>
      </c>
      <c r="F10" s="35">
        <f>F8/F9</f>
        <v>433.483773630569</v>
      </c>
    </row>
    <row r="11" ht="20.05" customHeight="1">
      <c r="B11" t="s" s="41">
        <v>75</v>
      </c>
      <c r="C11" s="45"/>
      <c r="D11" s="35"/>
      <c r="E11" s="35">
        <f>'Share price - TSLA'!D85*E9</f>
        <v>361561.034318096</v>
      </c>
      <c r="F11" s="35">
        <f>'Share price - TSLA'!D88*F9</f>
        <v>739381.330257902</v>
      </c>
    </row>
    <row r="12" ht="20.05" customHeight="1">
      <c r="B12" t="s" s="41">
        <v>76</v>
      </c>
      <c r="C12" s="45"/>
      <c r="D12" s="55"/>
      <c r="E12" s="55"/>
      <c r="F12" s="55">
        <f>F11/'Model - Financial model'!E19</f>
        <v>23.4456281791572</v>
      </c>
    </row>
    <row r="13" ht="20.05" customHeight="1">
      <c r="B13" t="s" s="41">
        <v>77</v>
      </c>
      <c r="C13" s="45"/>
      <c r="D13" s="55"/>
      <c r="E13" s="55"/>
      <c r="F13" s="55">
        <f>F11/('Model - Financial model'!E25+'Model - Financial model'!E26+'Model - Financial model'!E28)</f>
        <v>7.47079989550215</v>
      </c>
    </row>
    <row r="14" ht="20.05" customHeight="1">
      <c r="B14" t="s" s="41">
        <v>78</v>
      </c>
      <c r="C14" s="45"/>
      <c r="D14" s="55"/>
      <c r="E14" s="55"/>
      <c r="F14" s="55">
        <f>F11/'Model - Financial model'!E31</f>
        <v>32.0709669838444</v>
      </c>
    </row>
    <row r="15" ht="20.05" customHeight="1">
      <c r="B15" t="s" s="41">
        <v>79</v>
      </c>
      <c r="C15" s="45"/>
      <c r="D15" s="16"/>
      <c r="E15" s="16"/>
      <c r="F15" s="16">
        <f>'Model - Financial model'!E24/'Model - Financial model'!E31</f>
        <v>0.0373896018316165</v>
      </c>
    </row>
    <row r="16" ht="20.05" customHeight="1">
      <c r="B16" t="s" s="41">
        <v>10</v>
      </c>
      <c r="C16" s="45"/>
      <c r="D16" s="16"/>
      <c r="E16" s="16"/>
      <c r="F16" s="16">
        <f>'Model - Financial model'!F19/'Model - Financial model'!E19-1</f>
        <v>0.457453103754439</v>
      </c>
    </row>
    <row r="17" ht="20.05" customHeight="1">
      <c r="B17" t="s" s="41">
        <v>80</v>
      </c>
      <c r="C17" s="45"/>
      <c r="D17" s="16"/>
      <c r="E17" s="16"/>
      <c r="F17" s="16">
        <f>'Model - Financial model'!F24/'Model - Financial model'!E24-1</f>
        <v>1.92982887991157</v>
      </c>
    </row>
    <row r="18" ht="20.05" customHeight="1">
      <c r="B18" t="s" s="41">
        <v>81</v>
      </c>
      <c r="C18" s="45"/>
      <c r="D18" s="16"/>
      <c r="E18" s="56"/>
      <c r="F18" s="56">
        <f>-('Model - Financial model'!C13+'Model - Financial model'!F13+'Model - Financial model'!D13+'Model - Financial model'!E13)/F11</f>
        <v>0.0017078551967243</v>
      </c>
    </row>
  </sheetData>
  <mergeCells count="1">
    <mergeCell ref="B2:F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