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<sst xmlns="http://schemas.openxmlformats.org/spreadsheetml/2006/main" uniqueCount="57">
  <si>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</si>
  <si>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</si>
  <si>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2022</t>
  </si>
  <si>
    <t>Cash 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</si>
  <si>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</si>
  <si>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</si>
  <si>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</si>
  <si>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</si>
  <si>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</si>
  <si>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</si>
  <si>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</si>
  <si>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</si>
  <si>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</si>
  <si>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</si>
  <si>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</si>
  <si>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</si>
  <si>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</si>
  <si>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</si>
  <si>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</si>
  <si>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</si>
  <si>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</si>
  <si>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</si>
  <si>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</si>
  <si>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</si>
  <si>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</si>
  <si>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</si>
  <si>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</si>
  <si>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</si>
  <si>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</si>
  <si>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</si>
  <si>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</si>
  <si>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</si>
  <si>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</si>
  <si>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</si>
  <si>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</si>
  <si>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</si>
  <si>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</si>
  <si>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</si>
  <si>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</si>
  <si>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</si>
  <si>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</si>
  <si>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</si>
  <si>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</si>
  <si>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</si>
  <si>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Sales growth </t>
  </si>
  <si>
    <t xml:space="preserve">Cost ratio </t>
  </si>
  <si>
    <t>Others</t>
  </si>
  <si>
    <t>Working Capital</t>
  </si>
  <si>
    <t xml:space="preserve">Operating </t>
  </si>
  <si>
    <t xml:space="preserve">Investment </t>
  </si>
  <si>
    <t xml:space="preserve">Free cashflow </t>
  </si>
  <si>
    <t>Cash</t>
  </si>
  <si>
    <t>Assets</t>
  </si>
  <si>
    <t>Check</t>
  </si>
  <si>
    <t>Net cash</t>
  </si>
  <si>
    <t>TSLA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</si>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</sst>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3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3" fontId="3" borderId="9" applyNumberFormat="1" applyFont="1" applyFill="0" applyBorder="1" applyAlignment="1" applyProtection="0">
      <alignment horizontal="right" vertical="center" wrapText="1" readingOrder="1"/>
    </xf>
    <xf numFmtId="3" fontId="4" borderId="10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11" applyNumberFormat="1" applyFont="1" applyFill="0" applyBorder="1" applyAlignment="1" applyProtection="0">
      <alignment horizontal="right" vertical="center" wrapText="1" readingOrder="1"/>
    </xf>
    <xf numFmtId="3" fontId="4" fillId="5" borderId="11" applyNumberFormat="1" applyFont="1" applyFill="1" applyBorder="1" applyAlignment="1" applyProtection="0">
      <alignment horizontal="right" vertical="center" wrapText="1" readingOrder="1"/>
    </xf>
    <xf numFmtId="3" fontId="4" borderId="12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d9d9d9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599513</xdr:colOff>
      <xdr:row>1</xdr:row>
      <xdr:rowOff>348034</xdr:rowOff>
    </xdr:from>
    <xdr:to>
      <xdr:col>13</xdr:col>
      <xdr:colOff>516070</xdr:colOff>
      <xdr:row>47</xdr:row>
      <xdr:rowOff>161281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06413" y="650294"/>
          <a:ext cx="8628758" cy="116280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6.0469" style="1" customWidth="1"/>
    <col min="3" max="6" width="8.83594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AVERAGE('Sales'!E29:E32)</f>
        <v>0.161997981264339</v>
      </c>
      <c r="D4" s="8"/>
      <c r="E4" s="8"/>
      <c r="F4" s="9">
        <f>AVERAGE(C5:F5)</f>
        <v>0.035</v>
      </c>
    </row>
    <row r="5" ht="20.05" customHeight="1">
      <c r="B5" t="s" s="10">
        <v>4</v>
      </c>
      <c r="C5" s="11">
        <v>-0.02</v>
      </c>
      <c r="D5" s="12">
        <v>0.05</v>
      </c>
      <c r="E5" s="12">
        <v>0.05</v>
      </c>
      <c r="F5" s="12">
        <v>0.06</v>
      </c>
    </row>
    <row r="6" ht="20.05" customHeight="1">
      <c r="B6" t="s" s="10">
        <v>5</v>
      </c>
      <c r="C6" s="13">
        <f>'Sales'!C32*(1+C5)</f>
        <v>18380.88</v>
      </c>
      <c r="D6" s="14">
        <f>C6*(1+D5)</f>
        <v>19299.924</v>
      </c>
      <c r="E6" s="14">
        <f>D6*(1+E5)</f>
        <v>20264.9202</v>
      </c>
      <c r="F6" s="14">
        <f>E6*(1+F5)</f>
        <v>21480.815412</v>
      </c>
    </row>
    <row r="7" ht="20.05" customHeight="1">
      <c r="B7" t="s" s="10">
        <v>6</v>
      </c>
      <c r="C7" s="11">
        <f>AVERAGE('Sales'!F31:F32)</f>
        <v>-0.772198301664148</v>
      </c>
      <c r="D7" s="12">
        <f>C7</f>
        <v>-0.772198301664148</v>
      </c>
      <c r="E7" s="12">
        <f>D7</f>
        <v>-0.772198301664148</v>
      </c>
      <c r="F7" s="12">
        <f>E7</f>
        <v>-0.772198301664148</v>
      </c>
    </row>
    <row r="8" ht="20.05" customHeight="1">
      <c r="B8" t="s" s="10">
        <v>7</v>
      </c>
      <c r="C8" s="15">
        <f>C7*C6</f>
        <v>-14193.6843190925</v>
      </c>
      <c r="D8" s="16">
        <f>D7*D6</f>
        <v>-14903.3685350471</v>
      </c>
      <c r="E8" s="16">
        <f>E7*E6</f>
        <v>-15648.5369617995</v>
      </c>
      <c r="F8" s="16">
        <f>F7*F6</f>
        <v>-16587.4491795075</v>
      </c>
    </row>
    <row r="9" ht="20.05" customHeight="1">
      <c r="B9" t="s" s="10">
        <v>8</v>
      </c>
      <c r="C9" s="15">
        <f>C6+C8</f>
        <v>4187.1956809075</v>
      </c>
      <c r="D9" s="16">
        <f>D6+D8</f>
        <v>4396.5554649529</v>
      </c>
      <c r="E9" s="16">
        <f>E6+E8</f>
        <v>4616.3832382005</v>
      </c>
      <c r="F9" s="16">
        <f>F6+F8</f>
        <v>4893.3662324925</v>
      </c>
    </row>
    <row r="10" ht="20.05" customHeight="1">
      <c r="B10" t="s" s="10">
        <v>9</v>
      </c>
      <c r="C10" s="15">
        <f>AVERAGE('Cashflow'!G32)</f>
        <v>-2167</v>
      </c>
      <c r="D10" s="16">
        <f>C10</f>
        <v>-2167</v>
      </c>
      <c r="E10" s="16">
        <f>D10</f>
        <v>-2167</v>
      </c>
      <c r="F10" s="16">
        <f>E10</f>
        <v>-2167</v>
      </c>
    </row>
    <row r="11" ht="20.05" customHeight="1">
      <c r="B11" t="s" s="10">
        <v>10</v>
      </c>
      <c r="C11" s="15">
        <f>C12+C15+C13</f>
        <v>-2020.1956809075</v>
      </c>
      <c r="D11" s="16">
        <f>D12+D15+D13</f>
        <v>-2156.374548264580</v>
      </c>
      <c r="E11" s="16">
        <f>E12+E15+E13</f>
        <v>-2042.1456476401</v>
      </c>
      <c r="F11" s="16">
        <f>F12+F15+F13</f>
        <v>-2028.4287964985</v>
      </c>
    </row>
    <row r="12" ht="20.05" customHeight="1">
      <c r="B12" t="s" s="10">
        <v>11</v>
      </c>
      <c r="C12" s="15">
        <f>-'Balance sheet'!G32/20</f>
        <v>-1531.6</v>
      </c>
      <c r="D12" s="16">
        <f>-C27/20</f>
        <v>-1455.02</v>
      </c>
      <c r="E12" s="16">
        <f>-D27/20</f>
        <v>-1382.269</v>
      </c>
      <c r="F12" s="16">
        <f>-E27/20</f>
        <v>-1313.15555</v>
      </c>
    </row>
    <row r="13" ht="20.05" customHeight="1">
      <c r="B13" t="s" s="10">
        <v>12</v>
      </c>
      <c r="C13" s="15">
        <f>-MIN(0,C16)</f>
        <v>85.443455274</v>
      </c>
      <c r="D13" s="16">
        <f>-MIN(C28,D16)</f>
        <v>-85.443455274</v>
      </c>
      <c r="E13" s="16">
        <f>-MIN(D28,E16)</f>
        <v>0</v>
      </c>
      <c r="F13" s="16">
        <f>-MIN(E28,F16)</f>
        <v>0</v>
      </c>
    </row>
    <row r="14" ht="20.05" customHeight="1">
      <c r="B14" t="s" s="10">
        <v>13</v>
      </c>
      <c r="C14" s="17">
        <v>0.2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-574.0391361815</v>
      </c>
      <c r="D15" s="16">
        <f>IF(D22&gt;0,-D22*$C$14,0)</f>
        <v>-615.911092990580</v>
      </c>
      <c r="E15" s="16">
        <f>IF(E22&gt;0,-E22*$C$14,0)</f>
        <v>-659.8766476401</v>
      </c>
      <c r="F15" s="16">
        <f>IF(F22&gt;0,-F22*$C$14,0)</f>
        <v>-715.2732464985</v>
      </c>
    </row>
    <row r="16" ht="20.05" customHeight="1">
      <c r="B16" t="s" s="10">
        <v>15</v>
      </c>
      <c r="C16" s="15">
        <f>C9+C10+C12+C15</f>
        <v>-85.443455274</v>
      </c>
      <c r="D16" s="16">
        <f>D9+D10+D12+D15</f>
        <v>158.624371962320</v>
      </c>
      <c r="E16" s="16">
        <f>E9+E10+E12+E15</f>
        <v>407.2375905604</v>
      </c>
      <c r="F16" s="16">
        <f>F9+F10+F12+F15</f>
        <v>697.937435994</v>
      </c>
    </row>
    <row r="17" ht="20.05" customHeight="1">
      <c r="B17" t="s" s="10">
        <v>16</v>
      </c>
      <c r="C17" s="15">
        <f>'Balance sheet'!C32</f>
        <v>17490</v>
      </c>
      <c r="D17" s="16">
        <f>C19</f>
        <v>17490</v>
      </c>
      <c r="E17" s="16">
        <f>D19</f>
        <v>17563.1809166883</v>
      </c>
      <c r="F17" s="16">
        <f>E19</f>
        <v>17970.4185072487</v>
      </c>
    </row>
    <row r="18" ht="20.05" customHeight="1">
      <c r="B18" t="s" s="10">
        <v>17</v>
      </c>
      <c r="C18" s="15">
        <f>C9+C10+C11</f>
        <v>0</v>
      </c>
      <c r="D18" s="16">
        <f>D9+D10+D11</f>
        <v>73.180916688320</v>
      </c>
      <c r="E18" s="16">
        <f>E9+E10+E11</f>
        <v>407.2375905604</v>
      </c>
      <c r="F18" s="16">
        <f>F9+F10+F11</f>
        <v>697.937435994</v>
      </c>
    </row>
    <row r="19" ht="20.05" customHeight="1">
      <c r="B19" t="s" s="10">
        <v>18</v>
      </c>
      <c r="C19" s="15">
        <f>C17+C18</f>
        <v>17490</v>
      </c>
      <c r="D19" s="16">
        <f>D17+D18</f>
        <v>17563.1809166883</v>
      </c>
      <c r="E19" s="16">
        <f>E17+E18</f>
        <v>17970.4185072487</v>
      </c>
      <c r="F19" s="16">
        <f>F17+F18</f>
        <v>18668.3559432427</v>
      </c>
    </row>
    <row r="20" ht="20.05" customHeight="1">
      <c r="B20" t="s" s="18">
        <v>19</v>
      </c>
      <c r="C20" s="19"/>
      <c r="D20" s="20"/>
      <c r="E20" s="20"/>
      <c r="F20" s="21"/>
    </row>
    <row r="21" ht="20.05" customHeight="1">
      <c r="B21" t="s" s="10">
        <v>20</v>
      </c>
      <c r="C21" s="15">
        <f>-AVERAGE('Cashflow'!D32)</f>
        <v>-1317</v>
      </c>
      <c r="D21" s="16">
        <f>C21</f>
        <v>-1317</v>
      </c>
      <c r="E21" s="16">
        <f>D21</f>
        <v>-1317</v>
      </c>
      <c r="F21" s="16">
        <f>E21</f>
        <v>-1317</v>
      </c>
    </row>
    <row r="22" ht="20.05" customHeight="1">
      <c r="B22" t="s" s="10">
        <v>21</v>
      </c>
      <c r="C22" s="15">
        <f>C6+C8+C21</f>
        <v>2870.1956809075</v>
      </c>
      <c r="D22" s="16">
        <f>D6+D8+D21</f>
        <v>3079.5554649529</v>
      </c>
      <c r="E22" s="16">
        <f>E6+E8+E21</f>
        <v>3299.3832382005</v>
      </c>
      <c r="F22" s="16">
        <f>F6+F8+F21</f>
        <v>3576.3662324925</v>
      </c>
    </row>
    <row r="23" ht="20.05" customHeight="1">
      <c r="B23" t="s" s="18">
        <v>22</v>
      </c>
      <c r="C23" s="19"/>
      <c r="D23" s="20"/>
      <c r="E23" s="20"/>
      <c r="F23" s="16"/>
    </row>
    <row r="24" ht="20.05" customHeight="1">
      <c r="B24" t="s" s="10">
        <v>23</v>
      </c>
      <c r="C24" s="15">
        <f>'Balance sheet'!F32+'Balance sheet'!E32-C10</f>
        <v>70463.5</v>
      </c>
      <c r="D24" s="16">
        <f>C24-D10</f>
        <v>72630.5</v>
      </c>
      <c r="E24" s="16">
        <f>D24-E10</f>
        <v>74797.5</v>
      </c>
      <c r="F24" s="16">
        <f>E24-F10</f>
        <v>76964.5</v>
      </c>
    </row>
    <row r="25" ht="20.05" customHeight="1">
      <c r="B25" t="s" s="10">
        <v>24</v>
      </c>
      <c r="C25" s="15">
        <f>'Balance sheet'!F32-C21</f>
        <v>21065.5</v>
      </c>
      <c r="D25" s="16">
        <f>C25-D21</f>
        <v>22382.5</v>
      </c>
      <c r="E25" s="16">
        <f>D25-E21</f>
        <v>23699.5</v>
      </c>
      <c r="F25" s="16">
        <f>E25-F21</f>
        <v>25016.5</v>
      </c>
    </row>
    <row r="26" ht="20.05" customHeight="1">
      <c r="B26" t="s" s="10">
        <v>25</v>
      </c>
      <c r="C26" s="15">
        <f>C24-C25</f>
        <v>49398</v>
      </c>
      <c r="D26" s="16">
        <f>D24-D25</f>
        <v>50248</v>
      </c>
      <c r="E26" s="16">
        <f>E24-E25</f>
        <v>51098</v>
      </c>
      <c r="F26" s="16">
        <f>F24-F25</f>
        <v>51948</v>
      </c>
    </row>
    <row r="27" ht="20.05" customHeight="1">
      <c r="B27" t="s" s="10">
        <v>11</v>
      </c>
      <c r="C27" s="15">
        <f>'Balance sheet'!G32+C12</f>
        <v>29100.4</v>
      </c>
      <c r="D27" s="16">
        <f>C27+D12</f>
        <v>27645.38</v>
      </c>
      <c r="E27" s="16">
        <f>D27+E12</f>
        <v>26263.111</v>
      </c>
      <c r="F27" s="16">
        <f>E27+F12</f>
        <v>24949.95545</v>
      </c>
    </row>
    <row r="28" ht="20.05" customHeight="1">
      <c r="B28" t="s" s="10">
        <v>12</v>
      </c>
      <c r="C28" s="15">
        <f>C13</f>
        <v>85.443455274</v>
      </c>
      <c r="D28" s="16">
        <f>C28+D13</f>
        <v>0</v>
      </c>
      <c r="E28" s="16">
        <f>D28+E13</f>
        <v>0</v>
      </c>
      <c r="F28" s="16">
        <f>E28+F13</f>
        <v>0</v>
      </c>
    </row>
    <row r="29" ht="20.05" customHeight="1">
      <c r="B29" t="s" s="10">
        <v>26</v>
      </c>
      <c r="C29" s="15">
        <f>'Balance sheet'!H32+C22+C15</f>
        <v>37702.156544726</v>
      </c>
      <c r="D29" s="16">
        <f>C29+D22+D15</f>
        <v>40165.8009166883</v>
      </c>
      <c r="E29" s="16">
        <f>D29+E22+E15</f>
        <v>42805.3075072487</v>
      </c>
      <c r="F29" s="16">
        <f>E29+F22+F15</f>
        <v>45666.4004932427</v>
      </c>
    </row>
    <row r="30" ht="20.05" customHeight="1">
      <c r="B30" t="s" s="10">
        <v>27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28</v>
      </c>
      <c r="C31" s="15">
        <f>C19-C27-C28</f>
        <v>-11695.843455274</v>
      </c>
      <c r="D31" s="16">
        <f>D19-D27-D28</f>
        <v>-10082.1990833117</v>
      </c>
      <c r="E31" s="16">
        <f>E19-E27-E28</f>
        <v>-8292.692492751299</v>
      </c>
      <c r="F31" s="16">
        <f>F19-F27-F28</f>
        <v>-6281.5995067573</v>
      </c>
    </row>
    <row r="32" ht="20.05" customHeight="1">
      <c r="B32" t="s" s="18">
        <v>29</v>
      </c>
      <c r="C32" s="15"/>
      <c r="D32" s="16"/>
      <c r="E32" s="16"/>
      <c r="F32" s="16"/>
    </row>
    <row r="33" ht="20.05" customHeight="1">
      <c r="B33" t="s" s="10">
        <v>30</v>
      </c>
      <c r="C33" s="15">
        <f>'Cashflow'!N32-C11</f>
        <v>-12621.5043190925</v>
      </c>
      <c r="D33" s="16">
        <f>C33-D11</f>
        <v>-10465.1297708279</v>
      </c>
      <c r="E33" s="16">
        <f>D33-E11</f>
        <v>-8422.9841231878</v>
      </c>
      <c r="F33" s="16">
        <f>E33-F11</f>
        <v>-6394.5553266893</v>
      </c>
    </row>
    <row r="34" ht="20.05" customHeight="1">
      <c r="B34" t="s" s="10">
        <v>31</v>
      </c>
      <c r="C34" s="15"/>
      <c r="D34" s="16"/>
      <c r="E34" s="16"/>
      <c r="F34" s="16">
        <v>1062603348182</v>
      </c>
    </row>
    <row r="35" ht="20.05" customHeight="1">
      <c r="B35" t="s" s="10">
        <v>31</v>
      </c>
      <c r="C35" s="15"/>
      <c r="D35" s="16"/>
      <c r="E35" s="16"/>
      <c r="F35" s="16">
        <f>F34/1000000</f>
        <v>1062603.348182</v>
      </c>
    </row>
    <row r="36" ht="20.05" customHeight="1">
      <c r="B36" t="s" s="10">
        <v>32</v>
      </c>
      <c r="C36" s="15"/>
      <c r="D36" s="16"/>
      <c r="E36" s="16"/>
      <c r="F36" s="16">
        <f>F35/(F19+F26)</f>
        <v>15.0475528507313</v>
      </c>
    </row>
    <row r="37" ht="20.05" customHeight="1">
      <c r="B37" t="s" s="10">
        <v>33</v>
      </c>
      <c r="C37" s="15"/>
      <c r="D37" s="16"/>
      <c r="E37" s="16"/>
      <c r="F37" s="22">
        <f>-(C15+D15+E15+F15)/F35</f>
        <v>0.00241397707592329</v>
      </c>
    </row>
    <row r="38" ht="20.05" customHeight="1">
      <c r="B38" t="s" s="10">
        <v>34</v>
      </c>
      <c r="C38" s="15"/>
      <c r="D38" s="16"/>
      <c r="E38" s="16"/>
      <c r="F38" s="16">
        <f>SUM(F9:F10)*4</f>
        <v>10905.46492997</v>
      </c>
    </row>
    <row r="39" ht="20.05" customHeight="1">
      <c r="B39" t="s" s="10">
        <v>35</v>
      </c>
      <c r="C39" s="15"/>
      <c r="D39" s="16"/>
      <c r="E39" s="16"/>
      <c r="F39" s="16">
        <f>'Balance sheet'!E32/F38</f>
        <v>4.45171300001912</v>
      </c>
    </row>
    <row r="40" ht="20.05" customHeight="1">
      <c r="B40" t="s" s="10">
        <v>29</v>
      </c>
      <c r="C40" s="15"/>
      <c r="D40" s="16"/>
      <c r="E40" s="16"/>
      <c r="F40" s="16">
        <f>F35/F38</f>
        <v>97.43769339551881</v>
      </c>
    </row>
    <row r="41" ht="20.05" customHeight="1">
      <c r="B41" t="s" s="10">
        <v>36</v>
      </c>
      <c r="C41" s="15"/>
      <c r="D41" s="16"/>
      <c r="E41" s="16"/>
      <c r="F41" s="16">
        <v>75</v>
      </c>
    </row>
    <row r="42" ht="20.05" customHeight="1">
      <c r="B42" t="s" s="10">
        <v>37</v>
      </c>
      <c r="C42" s="15"/>
      <c r="D42" s="16"/>
      <c r="E42" s="16"/>
      <c r="F42" s="16">
        <f>F38*F41</f>
        <v>817909.86974775</v>
      </c>
    </row>
    <row r="43" ht="20.05" customHeight="1">
      <c r="B43" t="s" s="10">
        <v>38</v>
      </c>
      <c r="C43" s="15"/>
      <c r="D43" s="16"/>
      <c r="E43" s="16"/>
      <c r="F43" s="16">
        <f>F35/F45</f>
        <v>1033.510040540780</v>
      </c>
    </row>
    <row r="44" ht="20.05" customHeight="1">
      <c r="B44" t="s" s="10">
        <v>39</v>
      </c>
      <c r="C44" s="15"/>
      <c r="D44" s="16"/>
      <c r="E44" s="16"/>
      <c r="F44" s="16">
        <f>F42/F43</f>
        <v>791.3903471317821</v>
      </c>
    </row>
    <row r="45" ht="20.05" customHeight="1">
      <c r="B45" t="s" s="10">
        <v>40</v>
      </c>
      <c r="C45" s="15"/>
      <c r="D45" s="16"/>
      <c r="E45" s="16"/>
      <c r="F45" s="16">
        <v>1028.15</v>
      </c>
    </row>
    <row r="46" ht="20.05" customHeight="1">
      <c r="B46" t="s" s="10">
        <v>41</v>
      </c>
      <c r="C46" s="15"/>
      <c r="D46" s="16"/>
      <c r="E46" s="16"/>
      <c r="F46" s="22">
        <f>F44/F45-1</f>
        <v>-0.230277345589863</v>
      </c>
    </row>
    <row r="47" ht="20.05" customHeight="1">
      <c r="B47" t="s" s="10">
        <v>42</v>
      </c>
      <c r="C47" s="15"/>
      <c r="D47" s="16"/>
      <c r="E47" s="16"/>
      <c r="F47" s="22">
        <f>'Sales'!C32/'Sales'!C28-1</f>
        <v>0.805371065550101</v>
      </c>
    </row>
    <row r="48" ht="20.05" customHeight="1">
      <c r="B48" t="s" s="10">
        <v>43</v>
      </c>
      <c r="C48" s="15"/>
      <c r="D48" s="16"/>
      <c r="E48" s="16"/>
      <c r="F48" s="22">
        <f>'Sales'!F35/'Sales'!E35-1</f>
        <v>-0.06585141430149349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5" style="23" customWidth="1"/>
    <col min="2" max="2" width="7.71875" style="23" customWidth="1"/>
    <col min="3" max="8" width="10.8828" style="23" customWidth="1"/>
    <col min="9" max="16384" width="16.3516" style="23" customWidth="1"/>
  </cols>
  <sheetData>
    <row r="1" ht="15" customHeight="1"/>
    <row r="2" ht="27.65" customHeight="1">
      <c r="B2" t="s" s="2">
        <v>5</v>
      </c>
      <c r="C2" s="2"/>
      <c r="D2" s="2"/>
      <c r="E2" s="2"/>
      <c r="F2" s="2"/>
      <c r="G2" s="2"/>
      <c r="H2" s="2"/>
    </row>
    <row r="3" ht="32.25" customHeight="1">
      <c r="B3" t="s" s="5">
        <v>1</v>
      </c>
      <c r="C3" t="s" s="5">
        <v>5</v>
      </c>
      <c r="D3" t="s" s="5">
        <v>36</v>
      </c>
      <c r="E3" t="s" s="5">
        <v>44</v>
      </c>
      <c r="F3" t="s" s="5">
        <v>45</v>
      </c>
      <c r="G3" t="s" s="5">
        <v>45</v>
      </c>
      <c r="H3" t="s" s="5">
        <v>36</v>
      </c>
    </row>
    <row r="4" ht="20.25" customHeight="1">
      <c r="B4" s="24">
        <v>2015</v>
      </c>
      <c r="C4" s="25">
        <v>940</v>
      </c>
      <c r="D4" s="26"/>
      <c r="E4" s="27"/>
      <c r="F4" s="27">
        <f>('Cashflow'!C4+'Cashflow'!D4-C4)/C4</f>
        <v>-1.08191489361702</v>
      </c>
      <c r="G4" s="27"/>
      <c r="H4" s="27"/>
    </row>
    <row r="5" ht="20.05" customHeight="1">
      <c r="B5" s="28"/>
      <c r="C5" s="13">
        <v>955</v>
      </c>
      <c r="D5" s="14"/>
      <c r="E5" s="22">
        <f>C5/C4-1</f>
        <v>0.0159574468085106</v>
      </c>
      <c r="F5" s="22">
        <f>('Cashflow'!C5+'Cashflow'!D5-C5)/C5</f>
        <v>-0.711727748691099</v>
      </c>
      <c r="G5" s="22"/>
      <c r="H5" s="22"/>
    </row>
    <row r="6" ht="20.05" customHeight="1">
      <c r="B6" s="28"/>
      <c r="C6" s="13">
        <v>937</v>
      </c>
      <c r="D6" s="14"/>
      <c r="E6" s="22">
        <f>C6/C5-1</f>
        <v>-0.018848167539267</v>
      </c>
      <c r="F6" s="22">
        <f>('Cashflow'!C6+'Cashflow'!D6-C6)/C6</f>
        <v>-1.12753468516542</v>
      </c>
      <c r="G6" s="22"/>
      <c r="H6" s="22"/>
    </row>
    <row r="7" ht="20.05" customHeight="1">
      <c r="B7" s="28"/>
      <c r="C7" s="13">
        <v>1214</v>
      </c>
      <c r="D7" s="14"/>
      <c r="E7" s="22">
        <f>C7/C6-1</f>
        <v>0.295624332977588</v>
      </c>
      <c r="F7" s="22">
        <f>('Cashflow'!C7+'Cashflow'!D7-C7)/C7</f>
        <v>-1.14546952224053</v>
      </c>
      <c r="G7" s="22"/>
      <c r="H7" s="22"/>
    </row>
    <row r="8" ht="20.05" customHeight="1">
      <c r="B8" s="28">
        <v>2016</v>
      </c>
      <c r="C8" s="13">
        <v>1147</v>
      </c>
      <c r="D8" s="14"/>
      <c r="E8" s="22">
        <f>C8/C7-1</f>
        <v>-0.0551894563426689</v>
      </c>
      <c r="F8" s="22">
        <f>('Cashflow'!C8+'Cashflow'!D8-C8)/C8</f>
        <v>-1.10950305143854</v>
      </c>
      <c r="G8" s="22">
        <f>AVERAGE(F5:F8)</f>
        <v>-1.0235587518839</v>
      </c>
      <c r="H8" s="22"/>
    </row>
    <row r="9" ht="20.05" customHeight="1">
      <c r="B9" s="28"/>
      <c r="C9" s="13">
        <v>1270</v>
      </c>
      <c r="D9" s="14"/>
      <c r="E9" s="22">
        <f>C9/C8-1</f>
        <v>0.107236268526591</v>
      </c>
      <c r="F9" s="22">
        <f>('Cashflow'!C9+'Cashflow'!D9-C9)/C9</f>
        <v>-1.08659842519685</v>
      </c>
      <c r="G9" s="22">
        <f>AVERAGE(F6:F9)</f>
        <v>-1.11727642101034</v>
      </c>
      <c r="H9" s="22"/>
    </row>
    <row r="10" ht="20.05" customHeight="1">
      <c r="B10" s="28"/>
      <c r="C10" s="13">
        <v>2298</v>
      </c>
      <c r="D10" s="14"/>
      <c r="E10" s="22">
        <f>C10/C9-1</f>
        <v>0.809448818897638</v>
      </c>
      <c r="F10" s="22">
        <f>('Cashflow'!C10+'Cashflow'!D10-C10)/C10</f>
        <v>-0.868494342906876</v>
      </c>
      <c r="G10" s="22">
        <f>AVERAGE(F7:F10)</f>
        <v>-1.0525163354457</v>
      </c>
      <c r="H10" s="22"/>
    </row>
    <row r="11" ht="20.05" customHeight="1">
      <c r="B11" s="28"/>
      <c r="C11" s="13">
        <v>2285</v>
      </c>
      <c r="D11" s="14"/>
      <c r="E11" s="22">
        <f>C11/C10-1</f>
        <v>-0.00565709312445605</v>
      </c>
      <c r="F11" s="22">
        <f>('Cashflow'!C11+'Cashflow'!D11-C11)/C11</f>
        <v>-0.9527352297593</v>
      </c>
      <c r="G11" s="22">
        <f>AVERAGE(F8:F11)</f>
        <v>-1.00433276232539</v>
      </c>
      <c r="H11" s="22"/>
    </row>
    <row r="12" ht="20.05" customHeight="1">
      <c r="B12" s="28">
        <v>2017</v>
      </c>
      <c r="C12" s="13">
        <v>2696</v>
      </c>
      <c r="D12" s="14"/>
      <c r="E12" s="22">
        <f>C12/C11-1</f>
        <v>0.179868708971554</v>
      </c>
      <c r="F12" s="22">
        <f>('Cashflow'!C12+'Cashflow'!D12-C12)/C12</f>
        <v>-1.00741839762611</v>
      </c>
      <c r="G12" s="22">
        <f>AVERAGE(F9:F12)</f>
        <v>-0.978811598872284</v>
      </c>
      <c r="H12" s="22"/>
    </row>
    <row r="13" ht="20.05" customHeight="1">
      <c r="B13" s="28"/>
      <c r="C13" s="13">
        <v>2789</v>
      </c>
      <c r="D13" s="14"/>
      <c r="E13" s="22">
        <f>C13/C12-1</f>
        <v>0.0344955489614243</v>
      </c>
      <c r="F13" s="22">
        <f>('Cashflow'!C13+'Cashflow'!D13-C13)/C13</f>
        <v>-1.0043026174256</v>
      </c>
      <c r="G13" s="22">
        <f>AVERAGE(F10:F13)</f>
        <v>-0.958237646929472</v>
      </c>
      <c r="H13" s="22"/>
    </row>
    <row r="14" ht="20.05" customHeight="1">
      <c r="B14" s="28"/>
      <c r="C14" s="13">
        <v>2985</v>
      </c>
      <c r="D14" s="14"/>
      <c r="E14" s="22">
        <f>C14/C13-1</f>
        <v>0.07027608461814271</v>
      </c>
      <c r="F14" s="22">
        <f>('Cashflow'!C14+'Cashflow'!D14-C14)/C14</f>
        <v>-1.09061976549414</v>
      </c>
      <c r="G14" s="22">
        <f>AVERAGE(F11:F14)</f>
        <v>-1.01376900257629</v>
      </c>
      <c r="H14" s="22"/>
    </row>
    <row r="15" ht="20.05" customHeight="1">
      <c r="B15" s="28"/>
      <c r="C15" s="13">
        <v>3288</v>
      </c>
      <c r="D15" s="14"/>
      <c r="E15" s="22">
        <f>C15/C14-1</f>
        <v>0.101507537688442</v>
      </c>
      <c r="F15" s="22">
        <f>('Cashflow'!C15+'Cashflow'!D15-C15)/C15</f>
        <v>-1.09160583941606</v>
      </c>
      <c r="G15" s="22">
        <f>AVERAGE(F12:F15)</f>
        <v>-1.04848665499048</v>
      </c>
      <c r="H15" s="22"/>
    </row>
    <row r="16" ht="20.05" customHeight="1">
      <c r="B16" s="28">
        <v>2018</v>
      </c>
      <c r="C16" s="13">
        <v>3405</v>
      </c>
      <c r="D16" s="14"/>
      <c r="E16" s="22">
        <f>C16/C15-1</f>
        <v>0.0355839416058394</v>
      </c>
      <c r="F16" s="22">
        <f>('Cashflow'!C16+'Cashflow'!D16-C16)/C16</f>
        <v>-1.10825256975037</v>
      </c>
      <c r="G16" s="22">
        <f>AVERAGE(F13:F16)</f>
        <v>-1.07369519802154</v>
      </c>
      <c r="H16" s="22"/>
    </row>
    <row r="17" ht="20.05" customHeight="1">
      <c r="B17" s="28"/>
      <c r="C17" s="13">
        <v>4002</v>
      </c>
      <c r="D17" s="14"/>
      <c r="E17" s="22">
        <f>C17/C16-1</f>
        <v>0.175330396475771</v>
      </c>
      <c r="F17" s="22">
        <f>('Cashflow'!C17+'Cashflow'!D17-C17)/C17</f>
        <v>-1.06446776611694</v>
      </c>
      <c r="G17" s="22">
        <f>AVERAGE(F14:F17)</f>
        <v>-1.08873648519438</v>
      </c>
      <c r="H17" s="22"/>
    </row>
    <row r="18" ht="20.05" customHeight="1">
      <c r="B18" s="28"/>
      <c r="C18" s="13">
        <v>6824</v>
      </c>
      <c r="D18" s="14"/>
      <c r="E18" s="22">
        <f>C18/C17-1</f>
        <v>0.705147426286857</v>
      </c>
      <c r="F18" s="22">
        <f>('Cashflow'!C18+'Cashflow'!D18-C18)/C18</f>
        <v>-0.889067995310668</v>
      </c>
      <c r="G18" s="22">
        <f>AVERAGE(F15:F18)</f>
        <v>-1.03834854264851</v>
      </c>
      <c r="H18" s="22"/>
    </row>
    <row r="19" ht="20.05" customHeight="1">
      <c r="B19" s="28"/>
      <c r="C19" s="13">
        <v>6143</v>
      </c>
      <c r="D19" s="14"/>
      <c r="E19" s="22">
        <f>C19/C18-1</f>
        <v>-0.09979484173505281</v>
      </c>
      <c r="F19" s="22">
        <f>('Cashflow'!C19+'Cashflow'!D19-C19)/C19</f>
        <v>-0.884909653263878</v>
      </c>
      <c r="G19" s="22">
        <f>AVERAGE(F16:F19)</f>
        <v>-0.986674496110464</v>
      </c>
      <c r="H19" s="22"/>
    </row>
    <row r="20" ht="20.05" customHeight="1">
      <c r="B20" s="28">
        <v>2019</v>
      </c>
      <c r="C20" s="13">
        <v>5451</v>
      </c>
      <c r="D20" s="14"/>
      <c r="E20" s="22">
        <f>C20/C19-1</f>
        <v>-0.112648543057138</v>
      </c>
      <c r="F20" s="22">
        <f>('Cashflow'!C20+'Cashflow'!D20-C20)/C20</f>
        <v>-1.03661713447074</v>
      </c>
      <c r="G20" s="22">
        <f>AVERAGE(F17:F20)</f>
        <v>-0.968765637290557</v>
      </c>
      <c r="H20" s="22"/>
    </row>
    <row r="21" ht="20.05" customHeight="1">
      <c r="B21" s="28"/>
      <c r="C21" s="13">
        <v>6350</v>
      </c>
      <c r="D21" s="14"/>
      <c r="E21" s="22">
        <f>C21/C20-1</f>
        <v>0.164923867180334</v>
      </c>
      <c r="F21" s="22">
        <f>('Cashflow'!C21+'Cashflow'!D21-C21)/C21</f>
        <v>-0.909291338582677</v>
      </c>
      <c r="G21" s="22">
        <f>AVERAGE(F18:F21)</f>
        <v>-0.929971530406991</v>
      </c>
      <c r="H21" s="22"/>
    </row>
    <row r="22" ht="20.05" customHeight="1">
      <c r="B22" s="28"/>
      <c r="C22" s="13">
        <v>6303</v>
      </c>
      <c r="D22" s="14"/>
      <c r="E22" s="22">
        <f>C22/C21-1</f>
        <v>-0.00740157480314961</v>
      </c>
      <c r="F22" s="22">
        <f>('Cashflow'!C22+'Cashflow'!D22-C22)/C22</f>
        <v>-0.849595430747263</v>
      </c>
      <c r="G22" s="22">
        <f>AVERAGE(F19:F22)</f>
        <v>-0.92010338926614</v>
      </c>
      <c r="H22" s="22"/>
    </row>
    <row r="23" ht="20.05" customHeight="1">
      <c r="B23" s="28"/>
      <c r="C23" s="13">
        <v>7384</v>
      </c>
      <c r="D23" s="14"/>
      <c r="E23" s="22">
        <f>C23/C22-1</f>
        <v>0.171505632238617</v>
      </c>
      <c r="F23" s="22">
        <f>('Cashflow'!C23+'Cashflow'!D23-C23)/C23</f>
        <v>-0.838299024918743</v>
      </c>
      <c r="G23" s="22">
        <f>AVERAGE(F20:F23)</f>
        <v>-0.9084507321798559</v>
      </c>
      <c r="H23" s="22"/>
    </row>
    <row r="24" ht="20.05" customHeight="1">
      <c r="B24" s="28">
        <v>2020</v>
      </c>
      <c r="C24" s="13">
        <v>5985</v>
      </c>
      <c r="D24" s="14">
        <v>5723.55</v>
      </c>
      <c r="E24" s="22">
        <f>C24/C23-1</f>
        <v>-0.189463705308776</v>
      </c>
      <c r="F24" s="22">
        <f>('Cashflow'!C24+'Cashflow'!D24-C24)/C24</f>
        <v>-0.831746031746032</v>
      </c>
      <c r="G24" s="22">
        <f>AVERAGE(F21:F24)</f>
        <v>-0.857232956498679</v>
      </c>
      <c r="H24" s="22"/>
    </row>
    <row r="25" ht="20.05" customHeight="1">
      <c r="B25" s="28"/>
      <c r="C25" s="13">
        <v>6036</v>
      </c>
      <c r="D25" s="14">
        <v>5397.5</v>
      </c>
      <c r="E25" s="22">
        <f>C25/C24-1</f>
        <v>0.00852130325814536</v>
      </c>
      <c r="F25" s="22">
        <f>('Cashflow'!C25+'Cashflow'!D25-C25)/C25</f>
        <v>-0.799536116633532</v>
      </c>
      <c r="G25" s="22">
        <f>AVERAGE(F22:F25)</f>
        <v>-0.829794151011393</v>
      </c>
      <c r="H25" s="22"/>
    </row>
    <row r="26" ht="20.05" customHeight="1">
      <c r="B26" s="28"/>
      <c r="C26" s="13">
        <v>8771</v>
      </c>
      <c r="D26" s="14">
        <v>6618.15</v>
      </c>
      <c r="E26" s="22">
        <f>C26/C25-1</f>
        <v>0.45311464546057</v>
      </c>
      <c r="F26" s="22">
        <f>('Cashflow'!C26+'Cashflow'!D26-C26)/C26</f>
        <v>-0.798768669478965</v>
      </c>
      <c r="G26" s="22">
        <f>AVERAGE(F23:F26)</f>
        <v>-0.817087460694318</v>
      </c>
      <c r="H26" s="22"/>
    </row>
    <row r="27" ht="20.05" customHeight="1">
      <c r="B27" s="28"/>
      <c r="C27" s="13">
        <v>10744</v>
      </c>
      <c r="D27" s="14">
        <v>9209.549999999999</v>
      </c>
      <c r="E27" s="22">
        <f>C27/C26-1</f>
        <v>0.224945844259492</v>
      </c>
      <c r="F27" s="22">
        <f>('Cashflow'!C27+'Cashflow'!D27-C27)/C27</f>
        <v>-0.834605361131794</v>
      </c>
      <c r="G27" s="22">
        <f>AVERAGE(F24:F27)</f>
        <v>-0.816164044747581</v>
      </c>
      <c r="H27" s="22"/>
    </row>
    <row r="28" ht="20.05" customHeight="1">
      <c r="B28" s="28">
        <v>2021</v>
      </c>
      <c r="C28" s="13">
        <v>10389</v>
      </c>
      <c r="D28" s="14">
        <v>10529.12</v>
      </c>
      <c r="E28" s="22">
        <f>C28/C27-1</f>
        <v>-0.0330416976917349</v>
      </c>
      <c r="F28" s="22">
        <f>('Cashflow'!C28+'Cashflow'!D28-C28)/C28</f>
        <v>-0.840889402252382</v>
      </c>
      <c r="G28" s="22">
        <f>AVERAGE(F25:F28)</f>
        <v>-0.818449887374168</v>
      </c>
      <c r="H28" s="22"/>
    </row>
    <row r="29" ht="20.05" customHeight="1">
      <c r="B29" s="28"/>
      <c r="C29" s="13">
        <v>11958</v>
      </c>
      <c r="D29" s="14">
        <v>12051.24</v>
      </c>
      <c r="E29" s="22">
        <f>C29/C28-1</f>
        <v>0.15102512272596</v>
      </c>
      <c r="F29" s="22">
        <f>('Cashflow'!C29+'Cashflow'!D29-C29)/C29</f>
        <v>-0.7952834922227801</v>
      </c>
      <c r="G29" s="22">
        <f>AVERAGE(F26:F29)</f>
        <v>-0.81738673127148</v>
      </c>
      <c r="H29" s="22"/>
    </row>
    <row r="30" ht="20.05" customHeight="1">
      <c r="B30" s="28"/>
      <c r="C30" s="13">
        <v>13757</v>
      </c>
      <c r="D30" s="14">
        <v>14544.6</v>
      </c>
      <c r="E30" s="22">
        <f>C30/C29-1</f>
        <v>0.15044321792942</v>
      </c>
      <c r="F30" s="22">
        <f>('Cashflow'!C30+'Cashflow'!D30-C30)/C30</f>
        <v>-0.771171040197718</v>
      </c>
      <c r="G30" s="22">
        <f>AVERAGE(F27:F30)</f>
        <v>-0.810487323951169</v>
      </c>
      <c r="H30" s="22"/>
    </row>
    <row r="31" ht="20.05" customHeight="1">
      <c r="B31" s="28"/>
      <c r="C31" s="15">
        <v>17719</v>
      </c>
      <c r="D31" s="14">
        <v>15820.55</v>
      </c>
      <c r="E31" s="22">
        <f>C31/C30-1</f>
        <v>0.287998836955732</v>
      </c>
      <c r="F31" s="22">
        <f>('Cashflow'!C31+'Cashflow'!D31-C31)/C31</f>
        <v>-0.7894915062926799</v>
      </c>
      <c r="G31" s="22">
        <f>AVERAGE(F28:F31)</f>
        <v>-0.79920886024139</v>
      </c>
      <c r="H31" s="22"/>
    </row>
    <row r="32" ht="20.05" customHeight="1">
      <c r="B32" s="28">
        <v>2022</v>
      </c>
      <c r="C32" s="13">
        <v>18756</v>
      </c>
      <c r="D32" s="14">
        <v>17364.62</v>
      </c>
      <c r="E32" s="22">
        <f>C32/C31-1</f>
        <v>0.0585247474462441</v>
      </c>
      <c r="F32" s="22">
        <f>('Cashflow'!C32+'Cashflow'!D32-C32)/C32</f>
        <v>-0.754905097035615</v>
      </c>
      <c r="G32" s="22">
        <f>AVERAGE(F29:F32)</f>
        <v>-0.777712783937198</v>
      </c>
      <c r="H32" s="22">
        <f>G32</f>
        <v>-0.777712783937198</v>
      </c>
    </row>
    <row r="33" ht="20.05" customHeight="1">
      <c r="B33" s="28"/>
      <c r="C33" s="13"/>
      <c r="D33" s="14">
        <f>'Model'!C6</f>
        <v>18380.88</v>
      </c>
      <c r="E33" s="21"/>
      <c r="F33" s="21"/>
      <c r="G33" s="12"/>
      <c r="H33" s="12">
        <f>'Model'!C7</f>
        <v>-0.772198301664148</v>
      </c>
    </row>
    <row r="34" ht="20.05" customHeight="1">
      <c r="B34" s="28"/>
      <c r="C34" s="13"/>
      <c r="D34" s="14">
        <f>SUM('Model'!D6)</f>
        <v>19299.924</v>
      </c>
      <c r="E34" s="21"/>
      <c r="F34" s="21"/>
      <c r="G34" s="12"/>
      <c r="H34" s="12"/>
    </row>
    <row r="35" ht="20.05" customHeight="1">
      <c r="B35" s="28"/>
      <c r="C35" s="13"/>
      <c r="D35" s="14">
        <f>'Model'!E6</f>
        <v>20264.9202</v>
      </c>
      <c r="E35" s="14">
        <f>SUM(C24:C32)</f>
        <v>104115</v>
      </c>
      <c r="F35" s="14">
        <f>SUM(D24:D32)</f>
        <v>97258.88</v>
      </c>
      <c r="G35" s="12"/>
      <c r="H35" s="12"/>
    </row>
    <row r="36" ht="20.05" customHeight="1">
      <c r="B36" s="28">
        <v>2023</v>
      </c>
      <c r="C36" s="13"/>
      <c r="D36" s="14">
        <f>'Model'!F6</f>
        <v>21480.815412</v>
      </c>
      <c r="E36" s="21"/>
      <c r="F36" s="21"/>
      <c r="G36" s="12"/>
      <c r="H36" s="12"/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1875" style="29" customWidth="1"/>
    <col min="2" max="2" width="9.07812" style="29" customWidth="1"/>
    <col min="3" max="16" width="10.4453" style="29" customWidth="1"/>
    <col min="17" max="16384" width="16.3516" style="29" customWidth="1"/>
  </cols>
  <sheetData>
    <row r="1" ht="26.9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21</v>
      </c>
      <c r="D3" t="s" s="5">
        <v>46</v>
      </c>
      <c r="E3" t="s" s="5">
        <v>47</v>
      </c>
      <c r="F3" t="s" s="5">
        <v>48</v>
      </c>
      <c r="G3" t="s" s="5">
        <v>49</v>
      </c>
      <c r="H3" t="s" s="5">
        <v>11</v>
      </c>
      <c r="I3" t="s" s="5">
        <v>26</v>
      </c>
      <c r="J3" t="s" s="5">
        <v>10</v>
      </c>
      <c r="K3" t="s" s="5">
        <v>50</v>
      </c>
      <c r="L3" t="s" s="5">
        <v>34</v>
      </c>
      <c r="M3" t="s" s="5">
        <v>36</v>
      </c>
      <c r="N3" t="s" s="5">
        <v>30</v>
      </c>
      <c r="O3" t="s" s="5">
        <v>36</v>
      </c>
      <c r="P3" s="30"/>
    </row>
    <row r="4" ht="20.35" customHeight="1">
      <c r="B4" s="31">
        <v>2015</v>
      </c>
      <c r="C4" s="32">
        <v>-154</v>
      </c>
      <c r="D4" s="33">
        <v>77</v>
      </c>
      <c r="E4" s="33">
        <v>-154</v>
      </c>
      <c r="F4" s="33">
        <v>-132</v>
      </c>
      <c r="G4" s="33">
        <v>-432</v>
      </c>
      <c r="H4" s="33"/>
      <c r="I4" s="33"/>
      <c r="J4" s="33">
        <v>186</v>
      </c>
      <c r="K4" s="33">
        <f>G4+F4-E4</f>
        <v>-410</v>
      </c>
      <c r="L4" s="33"/>
      <c r="M4" s="33"/>
      <c r="N4" s="33">
        <f>-J4</f>
        <v>-186</v>
      </c>
      <c r="O4" s="33"/>
      <c r="P4" s="33">
        <v>1</v>
      </c>
    </row>
    <row r="5" ht="20.15" customHeight="1">
      <c r="B5" s="34"/>
      <c r="C5" s="15">
        <v>184</v>
      </c>
      <c r="D5" s="16">
        <v>91.3</v>
      </c>
      <c r="E5" s="16">
        <v>-130</v>
      </c>
      <c r="F5" s="16">
        <v>-160</v>
      </c>
      <c r="G5" s="16">
        <v>-423</v>
      </c>
      <c r="H5" s="16"/>
      <c r="I5" s="16"/>
      <c r="J5" s="16">
        <v>219</v>
      </c>
      <c r="K5" s="16">
        <f>G5+F5-E5</f>
        <v>-453</v>
      </c>
      <c r="L5" s="16"/>
      <c r="M5" s="16"/>
      <c r="N5" s="16">
        <f>-J5+N4</f>
        <v>-405</v>
      </c>
      <c r="O5" s="16"/>
      <c r="P5" s="16">
        <f>1+P4</f>
        <v>2</v>
      </c>
    </row>
    <row r="6" ht="20.15" customHeight="1">
      <c r="B6" s="34"/>
      <c r="C6" s="15">
        <v>-229.8</v>
      </c>
      <c r="D6" s="16">
        <v>110.3</v>
      </c>
      <c r="E6" s="16">
        <v>-1065</v>
      </c>
      <c r="F6" s="16">
        <v>-203</v>
      </c>
      <c r="G6" s="16">
        <v>-404</v>
      </c>
      <c r="H6" s="16"/>
      <c r="I6" s="16"/>
      <c r="J6" s="16">
        <v>894</v>
      </c>
      <c r="K6" s="16">
        <f>G6+F6-E6</f>
        <v>458</v>
      </c>
      <c r="L6" s="16"/>
      <c r="M6" s="16"/>
      <c r="N6" s="16">
        <f>-J6+N5</f>
        <v>-1299</v>
      </c>
      <c r="O6" s="16"/>
      <c r="P6" s="16">
        <f>1+P5</f>
        <v>3</v>
      </c>
    </row>
    <row r="7" ht="20.15" customHeight="1">
      <c r="B7" s="34"/>
      <c r="C7" s="15">
        <v>-320.3</v>
      </c>
      <c r="D7" s="16">
        <v>143.7</v>
      </c>
      <c r="E7" s="16">
        <v>856</v>
      </c>
      <c r="F7" s="16">
        <v>-29.8</v>
      </c>
      <c r="G7" s="16">
        <v>-414</v>
      </c>
      <c r="H7" s="16"/>
      <c r="I7" s="16"/>
      <c r="J7" s="16">
        <v>225</v>
      </c>
      <c r="K7" s="16">
        <f>G7+F7-E7</f>
        <v>-1299.8</v>
      </c>
      <c r="L7" s="16"/>
      <c r="M7" s="16"/>
      <c r="N7" s="16">
        <f>-J7+N6</f>
        <v>-1524</v>
      </c>
      <c r="O7" s="16"/>
      <c r="P7" s="16">
        <f>1+P6</f>
        <v>4</v>
      </c>
    </row>
    <row r="8" ht="20.15" customHeight="1">
      <c r="B8" s="35">
        <v>2016</v>
      </c>
      <c r="C8" s="15">
        <v>-282</v>
      </c>
      <c r="D8" s="16">
        <v>156.4</v>
      </c>
      <c r="E8" s="16">
        <v>-270</v>
      </c>
      <c r="F8" s="16">
        <v>-249.6</v>
      </c>
      <c r="G8" s="16">
        <v>-233.8</v>
      </c>
      <c r="H8" s="16"/>
      <c r="I8" s="16"/>
      <c r="J8" s="16">
        <v>715.4</v>
      </c>
      <c r="K8" s="16">
        <f>G8+F8-E8</f>
        <v>-213.4</v>
      </c>
      <c r="L8" s="16">
        <f>AVERAGE(K5:K8)</f>
        <v>-377.05</v>
      </c>
      <c r="M8" s="16"/>
      <c r="N8" s="16">
        <f>-J8+N7</f>
        <v>-2239.4</v>
      </c>
      <c r="O8" s="16"/>
      <c r="P8" s="16">
        <f>1+P7</f>
        <v>5</v>
      </c>
    </row>
    <row r="9" ht="20.15" customHeight="1">
      <c r="B9" s="34"/>
      <c r="C9" s="15">
        <v>-293.18</v>
      </c>
      <c r="D9" s="16">
        <v>183.2</v>
      </c>
      <c r="E9" s="16">
        <v>159</v>
      </c>
      <c r="F9" s="16">
        <v>150.3</v>
      </c>
      <c r="G9" s="16">
        <v>-319.8</v>
      </c>
      <c r="H9" s="16"/>
      <c r="I9" s="16"/>
      <c r="J9" s="16">
        <v>1976.5</v>
      </c>
      <c r="K9" s="16">
        <f>G9+F9-E9</f>
        <v>-328.5</v>
      </c>
      <c r="L9" s="16">
        <f>AVERAGE(K6:K9)</f>
        <v>-345.925</v>
      </c>
      <c r="M9" s="16"/>
      <c r="N9" s="16">
        <f>-J9+N8</f>
        <v>-4215.9</v>
      </c>
      <c r="O9" s="16"/>
      <c r="P9" s="16">
        <f>1+P8</f>
        <v>6</v>
      </c>
    </row>
    <row r="10" ht="20.15" customHeight="1">
      <c r="B10" s="34"/>
      <c r="C10" s="15">
        <v>21.8</v>
      </c>
      <c r="D10" s="16">
        <v>280.4</v>
      </c>
      <c r="E10" s="16">
        <v>-36</v>
      </c>
      <c r="F10" s="16">
        <v>423.6</v>
      </c>
      <c r="G10" s="16">
        <v>-268</v>
      </c>
      <c r="H10" s="16"/>
      <c r="I10" s="16"/>
      <c r="J10" s="16">
        <v>-320.8</v>
      </c>
      <c r="K10" s="16">
        <f>G10+F10-E10</f>
        <v>191.6</v>
      </c>
      <c r="L10" s="16">
        <f>AVERAGE(K7:K10)</f>
        <v>-412.525</v>
      </c>
      <c r="M10" s="16"/>
      <c r="N10" s="16">
        <f>-J10+N9</f>
        <v>-3895.1</v>
      </c>
      <c r="O10" s="16"/>
      <c r="P10" s="16">
        <f>1+P9</f>
        <v>7</v>
      </c>
    </row>
    <row r="11" ht="20.15" customHeight="1">
      <c r="B11" s="34"/>
      <c r="C11" s="15">
        <v>-219</v>
      </c>
      <c r="D11" s="16">
        <v>327</v>
      </c>
      <c r="E11" s="16">
        <v>-548</v>
      </c>
      <c r="F11" s="16">
        <v>-448</v>
      </c>
      <c r="G11" s="16">
        <v>-595</v>
      </c>
      <c r="H11" s="16"/>
      <c r="I11" s="16"/>
      <c r="J11" s="16">
        <v>1373</v>
      </c>
      <c r="K11" s="16">
        <f>G11+F11-E11</f>
        <v>-495</v>
      </c>
      <c r="L11" s="16">
        <f>AVERAGE(K8:K11)</f>
        <v>-211.325</v>
      </c>
      <c r="M11" s="16"/>
      <c r="N11" s="16">
        <f>-J11+N10</f>
        <v>-5268.1</v>
      </c>
      <c r="O11" s="16"/>
      <c r="P11" s="16">
        <f>1+P10</f>
        <v>8</v>
      </c>
    </row>
    <row r="12" ht="20.15" customHeight="1">
      <c r="B12" s="35">
        <v>2017</v>
      </c>
      <c r="C12" s="15">
        <v>-397</v>
      </c>
      <c r="D12" s="16">
        <v>377</v>
      </c>
      <c r="E12" s="16">
        <v>-260</v>
      </c>
      <c r="F12" s="16">
        <v>-70</v>
      </c>
      <c r="G12" s="16">
        <v>-927</v>
      </c>
      <c r="H12" s="16"/>
      <c r="I12" s="16"/>
      <c r="J12" s="16">
        <v>1599</v>
      </c>
      <c r="K12" s="16">
        <f>G12+F12-E12</f>
        <v>-737</v>
      </c>
      <c r="L12" s="16">
        <f>AVERAGE(K9:K12)</f>
        <v>-342.225</v>
      </c>
      <c r="M12" s="16"/>
      <c r="N12" s="16">
        <f>-J12+N11</f>
        <v>-6867.1</v>
      </c>
      <c r="O12" s="16"/>
      <c r="P12" s="16">
        <f>1+P11</f>
        <v>9</v>
      </c>
    </row>
    <row r="13" ht="20.15" customHeight="1">
      <c r="B13" s="34"/>
      <c r="C13" s="15">
        <v>-401</v>
      </c>
      <c r="D13" s="16">
        <v>389</v>
      </c>
      <c r="E13" s="16">
        <v>-484</v>
      </c>
      <c r="F13" s="16">
        <v>-200.17</v>
      </c>
      <c r="G13" s="16">
        <v>-1157.9</v>
      </c>
      <c r="H13" s="16"/>
      <c r="I13" s="16"/>
      <c r="J13" s="16">
        <v>428.7</v>
      </c>
      <c r="K13" s="16">
        <f>G13+F13-E13</f>
        <v>-874.0700000000001</v>
      </c>
      <c r="L13" s="16">
        <f>AVERAGE(K10:K13)</f>
        <v>-478.6175</v>
      </c>
      <c r="M13" s="16"/>
      <c r="N13" s="16">
        <f>-J13+N12</f>
        <v>-7295.8</v>
      </c>
      <c r="O13" s="16"/>
      <c r="P13" s="16">
        <f>1+P12</f>
        <v>10</v>
      </c>
    </row>
    <row r="14" ht="20.15" customHeight="1">
      <c r="B14" s="34"/>
      <c r="C14" s="15">
        <v>-671.1</v>
      </c>
      <c r="D14" s="16">
        <v>400.6</v>
      </c>
      <c r="E14" s="16">
        <v>-250</v>
      </c>
      <c r="F14" s="16">
        <v>-300.5</v>
      </c>
      <c r="G14" s="16">
        <v>-1244.7</v>
      </c>
      <c r="H14" s="16"/>
      <c r="I14" s="16"/>
      <c r="J14" s="16">
        <v>2101.5</v>
      </c>
      <c r="K14" s="16">
        <f>G14+F14-E14</f>
        <v>-1295.2</v>
      </c>
      <c r="L14" s="16">
        <f>AVERAGE(K11:K14)</f>
        <v>-850.3175</v>
      </c>
      <c r="M14" s="16"/>
      <c r="N14" s="16">
        <f>-J14+N13</f>
        <v>-9397.299999999999</v>
      </c>
      <c r="O14" s="16"/>
      <c r="P14" s="16">
        <f>1+P13</f>
        <v>11</v>
      </c>
    </row>
    <row r="15" ht="20.15" customHeight="1">
      <c r="B15" s="34"/>
      <c r="C15" s="15">
        <v>-770.8</v>
      </c>
      <c r="D15" s="16">
        <v>469.6</v>
      </c>
      <c r="E15" s="16">
        <v>497</v>
      </c>
      <c r="F15" s="16">
        <v>509.8</v>
      </c>
      <c r="G15" s="16">
        <v>-911.5</v>
      </c>
      <c r="H15" s="16"/>
      <c r="I15" s="16"/>
      <c r="J15" s="16">
        <v>285.8</v>
      </c>
      <c r="K15" s="16">
        <f>G15+F15-E15</f>
        <v>-898.7</v>
      </c>
      <c r="L15" s="16">
        <f>AVERAGE(K12:K15)</f>
        <v>-951.2424999999999</v>
      </c>
      <c r="M15" s="16"/>
      <c r="N15" s="16">
        <f>-J15+N14</f>
        <v>-9683.1</v>
      </c>
      <c r="O15" s="16"/>
      <c r="P15" s="16">
        <f>1+P14</f>
        <v>12</v>
      </c>
    </row>
    <row r="16" ht="20.15" customHeight="1">
      <c r="B16" s="35">
        <v>2018</v>
      </c>
      <c r="C16" s="15">
        <v>-784.6</v>
      </c>
      <c r="D16" s="16">
        <v>416</v>
      </c>
      <c r="E16" s="16">
        <v>-261</v>
      </c>
      <c r="F16" s="16">
        <v>-398.3</v>
      </c>
      <c r="G16" s="16">
        <v>-728.6</v>
      </c>
      <c r="H16" s="16"/>
      <c r="I16" s="16"/>
      <c r="J16" s="16">
        <v>371.6</v>
      </c>
      <c r="K16" s="16">
        <f>G16+F16-E16</f>
        <v>-865.9</v>
      </c>
      <c r="L16" s="16">
        <f>AVERAGE(K13:K16)</f>
        <v>-983.4675</v>
      </c>
      <c r="M16" s="16"/>
      <c r="N16" s="16">
        <f>-J16+N15</f>
        <v>-10054.7</v>
      </c>
      <c r="O16" s="16"/>
      <c r="P16" s="16">
        <f>1+P15</f>
        <v>13</v>
      </c>
    </row>
    <row r="17" ht="20.15" customHeight="1">
      <c r="B17" s="34"/>
      <c r="C17" s="15">
        <v>-743</v>
      </c>
      <c r="D17" s="16">
        <v>485</v>
      </c>
      <c r="E17" s="16">
        <v>-231</v>
      </c>
      <c r="F17" s="16">
        <v>-129.6</v>
      </c>
      <c r="G17" s="16">
        <v>-683</v>
      </c>
      <c r="H17" s="16"/>
      <c r="I17" s="16"/>
      <c r="J17" s="16">
        <v>399</v>
      </c>
      <c r="K17" s="16">
        <f>G17+F17-E17</f>
        <v>-581.6</v>
      </c>
      <c r="L17" s="16">
        <f>AVERAGE(K14:K17)</f>
        <v>-910.35</v>
      </c>
      <c r="M17" s="16"/>
      <c r="N17" s="16">
        <f>-J17+N16</f>
        <v>-10453.7</v>
      </c>
      <c r="O17" s="16"/>
      <c r="P17" s="16">
        <f>1+P16</f>
        <v>14</v>
      </c>
    </row>
    <row r="18" ht="20.15" customHeight="1">
      <c r="B18" s="34"/>
      <c r="C18" s="15">
        <v>254</v>
      </c>
      <c r="D18" s="16">
        <v>503</v>
      </c>
      <c r="E18" s="16">
        <v>349</v>
      </c>
      <c r="F18" s="16">
        <v>1391</v>
      </c>
      <c r="G18" s="16">
        <v>-561</v>
      </c>
      <c r="H18" s="16"/>
      <c r="I18" s="16"/>
      <c r="J18" s="16">
        <v>-85</v>
      </c>
      <c r="K18" s="16">
        <f>G18+F18-E18</f>
        <v>481</v>
      </c>
      <c r="L18" s="16">
        <f>AVERAGE(K15:K18)</f>
        <v>-466.3</v>
      </c>
      <c r="M18" s="16"/>
      <c r="N18" s="16">
        <f>-J18+N17</f>
        <v>-10368.7</v>
      </c>
      <c r="O18" s="16"/>
      <c r="P18" s="16">
        <f>1+P17</f>
        <v>15</v>
      </c>
    </row>
    <row r="19" ht="20.15" customHeight="1">
      <c r="B19" s="34"/>
      <c r="C19" s="15">
        <v>210</v>
      </c>
      <c r="D19" s="16">
        <v>497</v>
      </c>
      <c r="E19" s="16">
        <v>199</v>
      </c>
      <c r="F19" s="16">
        <v>1235</v>
      </c>
      <c r="G19" s="16">
        <v>-365</v>
      </c>
      <c r="H19" s="16"/>
      <c r="I19" s="16"/>
      <c r="J19" s="16">
        <v>-112</v>
      </c>
      <c r="K19" s="16">
        <f>G19+F19-E19</f>
        <v>671</v>
      </c>
      <c r="L19" s="16">
        <f>AVERAGE(K16:K19)</f>
        <v>-73.875</v>
      </c>
      <c r="M19" s="16"/>
      <c r="N19" s="16">
        <f>-J19+N18</f>
        <v>-10256.7</v>
      </c>
      <c r="O19" s="16"/>
      <c r="P19" s="16">
        <f>1+P18</f>
        <v>16</v>
      </c>
    </row>
    <row r="20" ht="20.15" customHeight="1">
      <c r="B20" s="35">
        <v>2019</v>
      </c>
      <c r="C20" s="15">
        <v>-667.6</v>
      </c>
      <c r="D20" s="16">
        <v>468</v>
      </c>
      <c r="E20" s="16">
        <v>-676</v>
      </c>
      <c r="F20" s="16">
        <v>-640</v>
      </c>
      <c r="G20" s="16">
        <v>-306</v>
      </c>
      <c r="H20" s="16"/>
      <c r="I20" s="16"/>
      <c r="J20" s="16">
        <v>-653</v>
      </c>
      <c r="K20" s="16">
        <f>G20+F20-E20</f>
        <v>-270</v>
      </c>
      <c r="L20" s="16">
        <f>AVERAGE(K17:K20)</f>
        <v>75.09999999999999</v>
      </c>
      <c r="M20" s="16"/>
      <c r="N20" s="16">
        <f>-J20+N19</f>
        <v>-9603.700000000001</v>
      </c>
      <c r="O20" s="16"/>
      <c r="P20" s="16">
        <f>1+P19</f>
        <v>17</v>
      </c>
    </row>
    <row r="21" ht="20.15" customHeight="1">
      <c r="B21" s="34"/>
      <c r="C21" s="15">
        <v>-389</v>
      </c>
      <c r="D21" s="16">
        <v>965</v>
      </c>
      <c r="E21" s="16">
        <v>289</v>
      </c>
      <c r="F21" s="16">
        <v>864</v>
      </c>
      <c r="G21" s="16">
        <v>-241</v>
      </c>
      <c r="H21" s="16"/>
      <c r="I21" s="16"/>
      <c r="J21" s="16">
        <v>2143</v>
      </c>
      <c r="K21" s="16">
        <f>G21+F21-E21</f>
        <v>334</v>
      </c>
      <c r="L21" s="16">
        <f>AVERAGE(K18:K21)</f>
        <v>304</v>
      </c>
      <c r="M21" s="16"/>
      <c r="N21" s="16">
        <f>-J21+N20</f>
        <v>-11746.7</v>
      </c>
      <c r="O21" s="16"/>
      <c r="P21" s="16">
        <f>1+P20</f>
        <v>18</v>
      </c>
    </row>
    <row r="22" ht="20.15" customHeight="1">
      <c r="B22" s="34"/>
      <c r="C22" s="15">
        <v>150</v>
      </c>
      <c r="D22" s="16">
        <v>798</v>
      </c>
      <c r="E22" s="16">
        <v>-191</v>
      </c>
      <c r="F22" s="16">
        <v>756</v>
      </c>
      <c r="G22" s="16">
        <v>-486</v>
      </c>
      <c r="H22" s="16"/>
      <c r="I22" s="16"/>
      <c r="J22" s="16">
        <v>118</v>
      </c>
      <c r="K22" s="16">
        <f>G22+F22-E22</f>
        <v>461</v>
      </c>
      <c r="L22" s="16">
        <f>AVERAGE(K19:K22)</f>
        <v>299</v>
      </c>
      <c r="M22" s="16"/>
      <c r="N22" s="16">
        <f>-J22+N21</f>
        <v>-11864.7</v>
      </c>
      <c r="O22" s="16"/>
      <c r="P22" s="16">
        <f>1+P21</f>
        <v>19</v>
      </c>
    </row>
    <row r="23" ht="20.15" customHeight="1">
      <c r="B23" s="34"/>
      <c r="C23" s="15">
        <v>132</v>
      </c>
      <c r="D23" s="16">
        <v>1062</v>
      </c>
      <c r="E23" s="16">
        <v>231</v>
      </c>
      <c r="F23" s="16">
        <v>1425</v>
      </c>
      <c r="G23" s="16">
        <v>-403</v>
      </c>
      <c r="H23" s="16"/>
      <c r="I23" s="16"/>
      <c r="J23" s="16">
        <v>-79</v>
      </c>
      <c r="K23" s="16">
        <f>G23+F23-E23</f>
        <v>791</v>
      </c>
      <c r="L23" s="16">
        <f>AVERAGE(K20:K23)</f>
        <v>329</v>
      </c>
      <c r="M23" s="16"/>
      <c r="N23" s="16">
        <f>-J23+N22</f>
        <v>-11785.7</v>
      </c>
      <c r="O23" s="16"/>
      <c r="P23" s="16">
        <f>1+P22</f>
        <v>20</v>
      </c>
    </row>
    <row r="24" ht="20.15" customHeight="1">
      <c r="B24" s="35">
        <v>2020</v>
      </c>
      <c r="C24" s="15">
        <v>68</v>
      </c>
      <c r="D24" s="16">
        <v>939</v>
      </c>
      <c r="E24" s="16">
        <v>-1447</v>
      </c>
      <c r="F24" s="16">
        <v>-440</v>
      </c>
      <c r="G24" s="16">
        <v>-480</v>
      </c>
      <c r="H24" s="16"/>
      <c r="I24" s="16"/>
      <c r="J24" s="16">
        <v>2708</v>
      </c>
      <c r="K24" s="16">
        <f>G24+F24-E24</f>
        <v>527</v>
      </c>
      <c r="L24" s="16">
        <f>AVERAGE(K21:K24)</f>
        <v>528.25</v>
      </c>
      <c r="M24" s="16"/>
      <c r="N24" s="16">
        <f>-J24+N23</f>
        <v>-14493.7</v>
      </c>
      <c r="O24" s="16"/>
      <c r="P24" s="16">
        <f>1+P23</f>
        <v>21</v>
      </c>
    </row>
    <row r="25" ht="20.15" customHeight="1">
      <c r="B25" s="34"/>
      <c r="C25" s="15">
        <v>129</v>
      </c>
      <c r="D25" s="16">
        <v>1081</v>
      </c>
      <c r="E25" s="16">
        <v>-246</v>
      </c>
      <c r="F25" s="16">
        <v>964</v>
      </c>
      <c r="G25" s="16">
        <v>-566</v>
      </c>
      <c r="H25" s="16"/>
      <c r="I25" s="16"/>
      <c r="J25" s="16">
        <v>123</v>
      </c>
      <c r="K25" s="16">
        <f>G25+F25-E25</f>
        <v>644</v>
      </c>
      <c r="L25" s="16">
        <f>AVERAGE(K22:K25)</f>
        <v>605.75</v>
      </c>
      <c r="M25" s="16"/>
      <c r="N25" s="16">
        <f>-J25+N24</f>
        <v>-14616.7</v>
      </c>
      <c r="O25" s="16"/>
      <c r="P25" s="16">
        <f>1+P24</f>
        <v>22</v>
      </c>
    </row>
    <row r="26" ht="20.15" customHeight="1">
      <c r="B26" s="34"/>
      <c r="C26" s="15">
        <v>369</v>
      </c>
      <c r="D26" s="16">
        <v>1396</v>
      </c>
      <c r="E26" s="16">
        <v>635</v>
      </c>
      <c r="F26" s="16">
        <v>2400</v>
      </c>
      <c r="G26" s="16">
        <v>-1039</v>
      </c>
      <c r="H26" s="16"/>
      <c r="I26" s="16"/>
      <c r="J26" s="16">
        <f>4450</f>
        <v>4450</v>
      </c>
      <c r="K26" s="16">
        <f>G26+F26-E26</f>
        <v>726</v>
      </c>
      <c r="L26" s="16">
        <f>AVERAGE(K23:K26)</f>
        <v>672</v>
      </c>
      <c r="M26" s="16"/>
      <c r="N26" s="16">
        <f>-J26+N25</f>
        <v>-19066.7</v>
      </c>
      <c r="O26" s="16"/>
      <c r="P26" s="16">
        <f>1+P25</f>
        <v>23</v>
      </c>
    </row>
    <row r="27" ht="20.15" customHeight="1">
      <c r="B27" s="34"/>
      <c r="C27" s="15">
        <v>296</v>
      </c>
      <c r="D27" s="16">
        <v>1481</v>
      </c>
      <c r="E27" s="16">
        <v>1242</v>
      </c>
      <c r="F27" s="16">
        <v>3019</v>
      </c>
      <c r="G27" s="16">
        <v>-1047</v>
      </c>
      <c r="H27" s="16"/>
      <c r="I27" s="16"/>
      <c r="J27" s="16">
        <v>2692</v>
      </c>
      <c r="K27" s="16">
        <f>G27+F27-E27</f>
        <v>730</v>
      </c>
      <c r="L27" s="16">
        <f>AVERAGE(K24:K27)</f>
        <v>656.75</v>
      </c>
      <c r="M27" s="16"/>
      <c r="N27" s="16">
        <f>-J27+N26</f>
        <v>-21758.7</v>
      </c>
      <c r="O27" s="16"/>
      <c r="P27" s="16">
        <f>1+P26</f>
        <v>24</v>
      </c>
    </row>
    <row r="28" ht="20.15" customHeight="1">
      <c r="B28" s="35">
        <v>2021</v>
      </c>
      <c r="C28" s="15">
        <v>464</v>
      </c>
      <c r="D28" s="16">
        <v>1189</v>
      </c>
      <c r="E28" s="16">
        <v>-12</v>
      </c>
      <c r="F28" s="16">
        <v>1641</v>
      </c>
      <c r="G28" s="16">
        <v>-2582</v>
      </c>
      <c r="H28" s="16"/>
      <c r="I28" s="16"/>
      <c r="J28" s="16">
        <v>-1016</v>
      </c>
      <c r="K28" s="16">
        <f>G28+F28-E28</f>
        <v>-929</v>
      </c>
      <c r="L28" s="16">
        <f>AVERAGE(K25:K28)</f>
        <v>292.75</v>
      </c>
      <c r="M28" s="16"/>
      <c r="N28" s="16">
        <f>-J28+N27</f>
        <v>-20742.7</v>
      </c>
      <c r="O28" s="16"/>
      <c r="P28" s="16">
        <f>1+P27</f>
        <v>25</v>
      </c>
    </row>
    <row r="29" ht="20.15" customHeight="1">
      <c r="B29" s="34"/>
      <c r="C29" s="15">
        <v>1178</v>
      </c>
      <c r="D29" s="16">
        <v>1270</v>
      </c>
      <c r="E29" s="16">
        <f>F29-D29-C29</f>
        <v>-324</v>
      </c>
      <c r="F29" s="16">
        <v>2124</v>
      </c>
      <c r="G29" s="16">
        <v>-1515</v>
      </c>
      <c r="H29" s="16"/>
      <c r="I29" s="16"/>
      <c r="J29" s="16">
        <v>-1549</v>
      </c>
      <c r="K29" s="16">
        <f>G29+F29-E29</f>
        <v>933</v>
      </c>
      <c r="L29" s="16">
        <f>AVERAGE(K26:K29)</f>
        <v>365</v>
      </c>
      <c r="M29" s="16"/>
      <c r="N29" s="16">
        <f>-J29+N28</f>
        <v>-19193.7</v>
      </c>
      <c r="O29" s="16"/>
      <c r="P29" s="16">
        <f>1+P28</f>
        <v>26</v>
      </c>
    </row>
    <row r="30" ht="20.15" customHeight="1">
      <c r="B30" s="34"/>
      <c r="C30" s="15">
        <v>1659</v>
      </c>
      <c r="D30" s="16">
        <f>761+475+253</f>
        <v>1489</v>
      </c>
      <c r="E30" s="16">
        <f>F30-D30-C30</f>
        <v>-1</v>
      </c>
      <c r="F30" s="16">
        <v>3147</v>
      </c>
      <c r="G30" s="16">
        <v>-1855</v>
      </c>
      <c r="H30" s="16"/>
      <c r="I30" s="16"/>
      <c r="J30" s="16">
        <v>-1381</v>
      </c>
      <c r="K30" s="16">
        <f>G30+F30-E30</f>
        <v>1293</v>
      </c>
      <c r="L30" s="16">
        <f>AVERAGE(K27:K30)</f>
        <v>506.75</v>
      </c>
      <c r="M30" s="16"/>
      <c r="N30" s="16">
        <f>-J30+N29</f>
        <v>-17812.7</v>
      </c>
      <c r="O30" s="16"/>
      <c r="P30" s="16">
        <f>1+P29</f>
        <v>27</v>
      </c>
    </row>
    <row r="31" ht="20.15" customHeight="1">
      <c r="B31" s="34"/>
      <c r="C31" s="15">
        <v>2343</v>
      </c>
      <c r="D31" s="16">
        <f>F31-E31-C31</f>
        <v>1387</v>
      </c>
      <c r="E31" s="20">
        <v>855</v>
      </c>
      <c r="F31" s="16">
        <v>4585</v>
      </c>
      <c r="G31" s="16">
        <v>-1916</v>
      </c>
      <c r="H31" s="16">
        <v>-1456</v>
      </c>
      <c r="I31" s="16">
        <v>0</v>
      </c>
      <c r="J31" s="16">
        <v>-1257</v>
      </c>
      <c r="K31" s="16">
        <f>G31+F31-E31</f>
        <v>1814</v>
      </c>
      <c r="L31" s="16">
        <f>AVERAGE(K28:K31)</f>
        <v>777.75</v>
      </c>
      <c r="M31" s="16"/>
      <c r="N31" s="16">
        <f>-J31+N30</f>
        <v>-16555.7</v>
      </c>
      <c r="O31" s="16"/>
      <c r="P31" s="16">
        <f>1+P30</f>
        <v>28</v>
      </c>
    </row>
    <row r="32" ht="20.15" customHeight="1">
      <c r="B32" s="35">
        <v>2022</v>
      </c>
      <c r="C32" s="15">
        <v>3280</v>
      </c>
      <c r="D32" s="16">
        <f>F32-E32-C32</f>
        <v>1317</v>
      </c>
      <c r="E32" s="20">
        <v>-602</v>
      </c>
      <c r="F32" s="16">
        <v>3995</v>
      </c>
      <c r="G32" s="16">
        <v>-2167</v>
      </c>
      <c r="H32" s="16">
        <v>-1436</v>
      </c>
      <c r="I32" s="16"/>
      <c r="J32" s="16">
        <v>-1914</v>
      </c>
      <c r="K32" s="16">
        <f>G32+F32-E32</f>
        <v>2430</v>
      </c>
      <c r="L32" s="16">
        <f>AVERAGE(K29:K32)</f>
        <v>1617.5</v>
      </c>
      <c r="M32" s="16">
        <f>L32</f>
        <v>1617.5</v>
      </c>
      <c r="N32" s="16">
        <f>-J32+N31</f>
        <v>-14641.7</v>
      </c>
      <c r="O32" s="16">
        <f>N32</f>
        <v>-14641.7</v>
      </c>
      <c r="P32" s="16">
        <f>1+P31</f>
        <v>29</v>
      </c>
    </row>
    <row r="33" ht="20.15" customHeight="1">
      <c r="B33" s="34"/>
      <c r="C33" s="15"/>
      <c r="D33" s="16"/>
      <c r="E33" s="21"/>
      <c r="F33" s="16"/>
      <c r="G33" s="16"/>
      <c r="H33" s="16"/>
      <c r="I33" s="16"/>
      <c r="J33" s="16"/>
      <c r="K33" s="16"/>
      <c r="L33" s="21"/>
      <c r="M33" s="16">
        <f>SUM('Model'!F9:F10)</f>
        <v>2726.3662324925</v>
      </c>
      <c r="N33" s="21"/>
      <c r="O33" s="16">
        <f>'Model'!F33</f>
        <v>-6394.5553266893</v>
      </c>
      <c r="P33" s="16"/>
    </row>
    <row r="34" ht="20.15" customHeight="1">
      <c r="B34" s="34"/>
      <c r="C34" s="15"/>
      <c r="D34" s="16"/>
      <c r="E34" s="2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7.53906" style="36" customWidth="1"/>
    <col min="3" max="11" width="9.98438" style="36" customWidth="1"/>
    <col min="12" max="16384" width="16.3516" style="36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23</v>
      </c>
      <c r="F3" t="s" s="5">
        <v>24</v>
      </c>
      <c r="G3" t="s" s="5">
        <v>11</v>
      </c>
      <c r="H3" t="s" s="5">
        <v>14</v>
      </c>
      <c r="I3" t="s" s="5">
        <v>53</v>
      </c>
      <c r="J3" t="s" s="5">
        <v>54</v>
      </c>
      <c r="K3" t="s" s="5">
        <v>36</v>
      </c>
    </row>
    <row r="4" ht="20.25" customHeight="1">
      <c r="B4" s="31">
        <v>2015</v>
      </c>
      <c r="C4" s="32">
        <v>1510</v>
      </c>
      <c r="D4" s="33">
        <v>6120</v>
      </c>
      <c r="E4" s="33">
        <f>D4-C4</f>
        <v>4610</v>
      </c>
      <c r="F4" s="33">
        <f>'Cashflow'!D4</f>
        <v>77</v>
      </c>
      <c r="G4" s="33">
        <v>5240</v>
      </c>
      <c r="H4" s="33">
        <v>880</v>
      </c>
      <c r="I4" s="33">
        <f>G4+H4-C4-E4</f>
        <v>0</v>
      </c>
      <c r="J4" s="33">
        <f>C4-G4</f>
        <v>-3730</v>
      </c>
      <c r="K4" s="33"/>
    </row>
    <row r="5" ht="20.05" customHeight="1">
      <c r="B5" s="34"/>
      <c r="C5" s="15">
        <v>1150.6</v>
      </c>
      <c r="D5" s="16">
        <v>6468</v>
      </c>
      <c r="E5" s="16">
        <f>D5-C5</f>
        <v>5317.4</v>
      </c>
      <c r="F5" s="16">
        <f>F4+'Cashflow'!D5</f>
        <v>168.3</v>
      </c>
      <c r="G5" s="16">
        <v>5702</v>
      </c>
      <c r="H5" s="16">
        <v>766</v>
      </c>
      <c r="I5" s="16">
        <f>G5+H5-C5-E5</f>
        <v>0</v>
      </c>
      <c r="J5" s="16">
        <f>C5-G5</f>
        <v>-4551.4</v>
      </c>
      <c r="K5" s="16"/>
    </row>
    <row r="6" ht="20.05" customHeight="1">
      <c r="B6" s="34"/>
      <c r="C6" s="15">
        <v>1426</v>
      </c>
      <c r="D6" s="16">
        <v>7547</v>
      </c>
      <c r="E6" s="16">
        <f>D6-C6</f>
        <v>6121</v>
      </c>
      <c r="F6" s="16">
        <f>F5+'Cashflow'!D6</f>
        <v>278.6</v>
      </c>
      <c r="G6" s="16">
        <v>6187</v>
      </c>
      <c r="H6" s="16">
        <v>1360</v>
      </c>
      <c r="I6" s="16">
        <f>G6+H6-C6-E6</f>
        <v>0</v>
      </c>
      <c r="J6" s="16">
        <f>C6-G6</f>
        <v>-4761</v>
      </c>
      <c r="K6" s="16"/>
    </row>
    <row r="7" ht="20.05" customHeight="1">
      <c r="B7" s="34"/>
      <c r="C7" s="15">
        <v>1196.9</v>
      </c>
      <c r="D7" s="16">
        <v>8067.9</v>
      </c>
      <c r="E7" s="16">
        <f>D7-C7</f>
        <v>6871</v>
      </c>
      <c r="F7" s="16">
        <f>F6+'Cashflow'!D7</f>
        <v>422.3</v>
      </c>
      <c r="G7" s="16">
        <v>6937</v>
      </c>
      <c r="H7" s="16">
        <v>1131</v>
      </c>
      <c r="I7" s="16">
        <f>G7+H7-C7-E7</f>
        <v>0.1</v>
      </c>
      <c r="J7" s="16">
        <f>C7-G7</f>
        <v>-5740.1</v>
      </c>
      <c r="K7" s="16"/>
    </row>
    <row r="8" ht="20.05" customHeight="1">
      <c r="B8" s="35">
        <v>2016</v>
      </c>
      <c r="C8" s="15">
        <v>1441.7</v>
      </c>
      <c r="D8" s="16">
        <v>9192</v>
      </c>
      <c r="E8" s="16">
        <f>D8-C8</f>
        <v>7750.3</v>
      </c>
      <c r="F8" s="16">
        <f>F7+'Cashflow'!D8</f>
        <v>578.7</v>
      </c>
      <c r="G8" s="16">
        <v>8179</v>
      </c>
      <c r="H8" s="16">
        <v>1013</v>
      </c>
      <c r="I8" s="16">
        <f>G8+H8-C8-E8</f>
        <v>0</v>
      </c>
      <c r="J8" s="16">
        <f>C8-G8</f>
        <v>-6737.3</v>
      </c>
      <c r="K8" s="16"/>
    </row>
    <row r="9" ht="20.05" customHeight="1">
      <c r="B9" s="34"/>
      <c r="C9" s="15">
        <v>3246.3</v>
      </c>
      <c r="D9" s="16">
        <v>11868.9</v>
      </c>
      <c r="E9" s="16">
        <f>D9-C9</f>
        <v>8622.6</v>
      </c>
      <c r="F9" s="16">
        <f>F8+'Cashflow'!D9</f>
        <v>761.9</v>
      </c>
      <c r="G9" s="16">
        <v>9312</v>
      </c>
      <c r="H9" s="16">
        <v>2557</v>
      </c>
      <c r="I9" s="16">
        <f>G9+H9-C9-E9</f>
        <v>0.1</v>
      </c>
      <c r="J9" s="16">
        <f>C9-G9</f>
        <v>-6065.7</v>
      </c>
      <c r="K9" s="16"/>
    </row>
    <row r="10" ht="20.05" customHeight="1">
      <c r="B10" s="34"/>
      <c r="C10" s="15">
        <v>3084.2</v>
      </c>
      <c r="D10" s="16">
        <v>12592</v>
      </c>
      <c r="E10" s="16">
        <f>D10-C10</f>
        <v>9507.799999999999</v>
      </c>
      <c r="F10" s="16">
        <f>F9+'Cashflow'!D10</f>
        <v>1042.3</v>
      </c>
      <c r="G10" s="16">
        <v>9901</v>
      </c>
      <c r="H10" s="16">
        <v>2691</v>
      </c>
      <c r="I10" s="16">
        <f>G10+H10-C10-E10</f>
        <v>0</v>
      </c>
      <c r="J10" s="16">
        <f>C10-G10</f>
        <v>-6816.8</v>
      </c>
      <c r="K10" s="16"/>
    </row>
    <row r="11" ht="20.05" customHeight="1">
      <c r="B11" s="34"/>
      <c r="C11" s="15">
        <v>3393.2</v>
      </c>
      <c r="D11" s="16">
        <v>22664</v>
      </c>
      <c r="E11" s="16">
        <f>D11-C11</f>
        <v>19270.8</v>
      </c>
      <c r="F11" s="16">
        <f>F10+'Cashflow'!D11</f>
        <v>1369.3</v>
      </c>
      <c r="G11" s="16">
        <v>16750</v>
      </c>
      <c r="H11" s="16">
        <v>5914</v>
      </c>
      <c r="I11" s="16">
        <f>G11+H11-C11-E11</f>
        <v>0</v>
      </c>
      <c r="J11" s="16">
        <f>C11-G11</f>
        <v>-13356.8</v>
      </c>
      <c r="K11" s="16"/>
    </row>
    <row r="12" ht="20.05" customHeight="1">
      <c r="B12" s="35">
        <v>2017</v>
      </c>
      <c r="C12" s="15">
        <v>4006.5</v>
      </c>
      <c r="D12" s="16">
        <v>25053.7</v>
      </c>
      <c r="E12" s="16">
        <f>D12-C12</f>
        <v>21047.2</v>
      </c>
      <c r="F12" s="16">
        <f>F11+'Cashflow'!D12</f>
        <v>1746.3</v>
      </c>
      <c r="G12" s="16">
        <v>18885</v>
      </c>
      <c r="H12" s="16">
        <v>6169</v>
      </c>
      <c r="I12" s="16">
        <f>G12+H12-C12-E12</f>
        <v>0.3</v>
      </c>
      <c r="J12" s="16">
        <f>C12-G12</f>
        <v>-14878.5</v>
      </c>
      <c r="K12" s="16"/>
    </row>
    <row r="13" ht="20.05" customHeight="1">
      <c r="B13" s="34"/>
      <c r="C13" s="15">
        <v>3035.9</v>
      </c>
      <c r="D13" s="16">
        <v>26043.7</v>
      </c>
      <c r="E13" s="16">
        <f>D13-C13</f>
        <v>23007.8</v>
      </c>
      <c r="F13" s="16">
        <f>F12+'Cashflow'!D13</f>
        <v>2135.3</v>
      </c>
      <c r="G13" s="16">
        <v>19460</v>
      </c>
      <c r="H13" s="16">
        <v>6584</v>
      </c>
      <c r="I13" s="16">
        <f>G13+H13-C13-E13</f>
        <v>0.3</v>
      </c>
      <c r="J13" s="16">
        <f>C13-G13</f>
        <v>-16424.1</v>
      </c>
      <c r="K13" s="16"/>
    </row>
    <row r="14" ht="20.05" customHeight="1">
      <c r="B14" s="34"/>
      <c r="C14" s="15">
        <v>3530</v>
      </c>
      <c r="D14" s="16">
        <v>28107</v>
      </c>
      <c r="E14" s="16">
        <f>D14-C14</f>
        <v>24577</v>
      </c>
      <c r="F14" s="16">
        <f>F13+'Cashflow'!D14</f>
        <v>2535.9</v>
      </c>
      <c r="G14" s="16">
        <v>21929</v>
      </c>
      <c r="H14" s="16">
        <v>6178</v>
      </c>
      <c r="I14" s="16">
        <f>G14+H14-C14-E14</f>
        <v>0</v>
      </c>
      <c r="J14" s="16">
        <f>C14-G14</f>
        <v>-18399</v>
      </c>
      <c r="K14" s="16"/>
    </row>
    <row r="15" ht="20.05" customHeight="1">
      <c r="B15" s="34"/>
      <c r="C15" s="15">
        <v>3368</v>
      </c>
      <c r="D15" s="16">
        <v>28655</v>
      </c>
      <c r="E15" s="16">
        <f>D15-C15</f>
        <v>25287</v>
      </c>
      <c r="F15" s="16">
        <f>F14+'Cashflow'!D15</f>
        <v>3005.5</v>
      </c>
      <c r="G15" s="16">
        <v>23023</v>
      </c>
      <c r="H15" s="16">
        <v>5632</v>
      </c>
      <c r="I15" s="16">
        <f>G15+H15-C15-E15</f>
        <v>0</v>
      </c>
      <c r="J15" s="16">
        <f>C15-G15</f>
        <v>-19655</v>
      </c>
      <c r="K15" s="16"/>
    </row>
    <row r="16" ht="20.05" customHeight="1">
      <c r="B16" s="35">
        <v>2018</v>
      </c>
      <c r="C16" s="15">
        <v>2666</v>
      </c>
      <c r="D16" s="16">
        <v>27271</v>
      </c>
      <c r="E16" s="16">
        <f>D16-C16</f>
        <v>24605</v>
      </c>
      <c r="F16" s="16">
        <f>F15+'Cashflow'!D16</f>
        <v>3421.5</v>
      </c>
      <c r="G16" s="16">
        <v>21551</v>
      </c>
      <c r="H16" s="16">
        <v>5720</v>
      </c>
      <c r="I16" s="16">
        <f>G16+H16-C16-E16</f>
        <v>0</v>
      </c>
      <c r="J16" s="16">
        <f>C16-G16</f>
        <v>-18885</v>
      </c>
      <c r="K16" s="16"/>
    </row>
    <row r="17" ht="20.05" customHeight="1">
      <c r="B17" s="34"/>
      <c r="C17" s="15">
        <v>2236.4</v>
      </c>
      <c r="D17" s="16">
        <v>27910</v>
      </c>
      <c r="E17" s="16">
        <f>D17-C17</f>
        <v>25673.6</v>
      </c>
      <c r="F17" s="16">
        <f>F16+'Cashflow'!D17</f>
        <v>3906.5</v>
      </c>
      <c r="G17" s="16">
        <v>22643</v>
      </c>
      <c r="H17" s="16">
        <v>5267</v>
      </c>
      <c r="I17" s="16">
        <f>G17+H17-C17-E17</f>
        <v>0</v>
      </c>
      <c r="J17" s="16">
        <f>C17-G17</f>
        <v>-20406.6</v>
      </c>
      <c r="K17" s="16"/>
    </row>
    <row r="18" ht="20.05" customHeight="1">
      <c r="B18" s="34"/>
      <c r="C18" s="15">
        <v>2968</v>
      </c>
      <c r="D18" s="16">
        <v>29263</v>
      </c>
      <c r="E18" s="16">
        <f>D18-C18</f>
        <v>26295</v>
      </c>
      <c r="F18" s="16">
        <f>F17+'Cashflow'!D18</f>
        <v>4409.5</v>
      </c>
      <c r="G18" s="16">
        <v>23409</v>
      </c>
      <c r="H18" s="16">
        <v>5854</v>
      </c>
      <c r="I18" s="16">
        <f>G18+H18-C18-E18</f>
        <v>0</v>
      </c>
      <c r="J18" s="16">
        <f>C18-G18</f>
        <v>-20441</v>
      </c>
      <c r="K18" s="16"/>
    </row>
    <row r="19" ht="20.05" customHeight="1">
      <c r="B19" s="34"/>
      <c r="C19" s="15">
        <v>3686</v>
      </c>
      <c r="D19" s="16">
        <v>29740</v>
      </c>
      <c r="E19" s="16">
        <f>D19-C19</f>
        <v>26054</v>
      </c>
      <c r="F19" s="16">
        <f>F18+'Cashflow'!D19</f>
        <v>4906.5</v>
      </c>
      <c r="G19" s="16">
        <v>23427</v>
      </c>
      <c r="H19" s="16">
        <v>6313</v>
      </c>
      <c r="I19" s="16">
        <f>G19+H19-C19-E19</f>
        <v>0</v>
      </c>
      <c r="J19" s="16">
        <f>C19-G19</f>
        <v>-19741</v>
      </c>
      <c r="K19" s="16"/>
    </row>
    <row r="20" ht="20.05" customHeight="1">
      <c r="B20" s="35">
        <v>2019</v>
      </c>
      <c r="C20" s="15">
        <v>2198</v>
      </c>
      <c r="D20" s="16">
        <v>28913</v>
      </c>
      <c r="E20" s="16">
        <f>D20-C20</f>
        <v>26715</v>
      </c>
      <c r="F20" s="16">
        <f>F19+'Cashflow'!D20</f>
        <v>5374.5</v>
      </c>
      <c r="G20" s="16">
        <v>22875</v>
      </c>
      <c r="H20" s="16">
        <v>6038</v>
      </c>
      <c r="I20" s="16">
        <f>G20+H20-C20-E20</f>
        <v>0</v>
      </c>
      <c r="J20" s="16">
        <f>C20-G20</f>
        <v>-20677</v>
      </c>
      <c r="K20" s="16"/>
    </row>
    <row r="21" ht="20.05" customHeight="1">
      <c r="B21" s="34"/>
      <c r="C21" s="15">
        <v>4955</v>
      </c>
      <c r="D21" s="16">
        <v>31873</v>
      </c>
      <c r="E21" s="16">
        <f>D21-C21</f>
        <v>26918</v>
      </c>
      <c r="F21" s="16">
        <f>F20+'Cashflow'!D21</f>
        <v>6339.5</v>
      </c>
      <c r="G21" s="16">
        <v>24722</v>
      </c>
      <c r="H21" s="16">
        <v>7151</v>
      </c>
      <c r="I21" s="16">
        <f>G21+H21-C21-E21</f>
        <v>0</v>
      </c>
      <c r="J21" s="16">
        <f>C21-G21</f>
        <v>-19767</v>
      </c>
      <c r="K21" s="16"/>
    </row>
    <row r="22" ht="20.05" customHeight="1">
      <c r="B22" s="34"/>
      <c r="C22" s="15">
        <v>5338</v>
      </c>
      <c r="D22" s="16">
        <v>32795</v>
      </c>
      <c r="E22" s="16">
        <f>D22-C22</f>
        <v>27457</v>
      </c>
      <c r="F22" s="16">
        <f>F21+'Cashflow'!D22</f>
        <v>7137.5</v>
      </c>
      <c r="G22" s="16">
        <v>25313</v>
      </c>
      <c r="H22" s="16">
        <v>7482</v>
      </c>
      <c r="I22" s="16">
        <f>G22+H22-C22-E22</f>
        <v>0</v>
      </c>
      <c r="J22" s="16">
        <f>C22-G22</f>
        <v>-19975</v>
      </c>
      <c r="K22" s="16"/>
    </row>
    <row r="23" ht="20.05" customHeight="1">
      <c r="B23" s="34"/>
      <c r="C23" s="15">
        <v>6268</v>
      </c>
      <c r="D23" s="16">
        <v>34309</v>
      </c>
      <c r="E23" s="16">
        <f>D23-C23</f>
        <v>28041</v>
      </c>
      <c r="F23" s="16">
        <f>F22+'Cashflow'!D23</f>
        <v>8199.5</v>
      </c>
      <c r="G23" s="16">
        <v>26199</v>
      </c>
      <c r="H23" s="16">
        <v>8110</v>
      </c>
      <c r="I23" s="16">
        <f>G23+H23-C23-E23</f>
        <v>0</v>
      </c>
      <c r="J23" s="16">
        <f>C23-G23</f>
        <v>-19931</v>
      </c>
      <c r="K23" s="16"/>
    </row>
    <row r="24" ht="20.05" customHeight="1">
      <c r="B24" s="35">
        <v>2020</v>
      </c>
      <c r="C24" s="15">
        <v>8080</v>
      </c>
      <c r="D24" s="16">
        <v>37250</v>
      </c>
      <c r="E24" s="16">
        <f>D24-C24</f>
        <v>29170</v>
      </c>
      <c r="F24" s="16">
        <f>F23+'Cashflow'!D24</f>
        <v>9138.5</v>
      </c>
      <c r="G24" s="16">
        <v>26518</v>
      </c>
      <c r="H24" s="16">
        <v>10732</v>
      </c>
      <c r="I24" s="16">
        <f>G24+H24-C24-E24</f>
        <v>0</v>
      </c>
      <c r="J24" s="16">
        <f>C24-G24</f>
        <v>-18438</v>
      </c>
      <c r="K24" s="16"/>
    </row>
    <row r="25" ht="20.05" customHeight="1">
      <c r="B25" s="34"/>
      <c r="C25" s="15">
        <v>8615</v>
      </c>
      <c r="D25" s="16">
        <v>38135</v>
      </c>
      <c r="E25" s="16">
        <f>D25-C25</f>
        <v>29520</v>
      </c>
      <c r="F25" s="16">
        <f>F24+'Cashflow'!D25</f>
        <v>10219.5</v>
      </c>
      <c r="G25" s="16">
        <v>26754</v>
      </c>
      <c r="H25" s="16">
        <v>11381</v>
      </c>
      <c r="I25" s="16">
        <f>G25+H25-C25-E25</f>
        <v>0</v>
      </c>
      <c r="J25" s="16">
        <f>C25-G25</f>
        <v>-18139</v>
      </c>
      <c r="K25" s="16"/>
    </row>
    <row r="26" ht="20.05" customHeight="1">
      <c r="B26" s="34"/>
      <c r="C26" s="15">
        <v>14531</v>
      </c>
      <c r="D26" s="16">
        <v>45691</v>
      </c>
      <c r="E26" s="16">
        <f>D26-C26</f>
        <v>31160</v>
      </c>
      <c r="F26" s="16">
        <f>F25+'Cashflow'!D26</f>
        <v>11615.5</v>
      </c>
      <c r="G26" s="16">
        <v>28143</v>
      </c>
      <c r="H26" s="16">
        <v>17548</v>
      </c>
      <c r="I26" s="16">
        <f>G26+H26-C26-E26</f>
        <v>0</v>
      </c>
      <c r="J26" s="16">
        <f>C26-G26</f>
        <v>-13612</v>
      </c>
      <c r="K26" s="16"/>
    </row>
    <row r="27" ht="20.05" customHeight="1">
      <c r="B27" s="34"/>
      <c r="C27" s="15">
        <v>19384</v>
      </c>
      <c r="D27" s="16">
        <v>52148</v>
      </c>
      <c r="E27" s="16">
        <f>D27-C27</f>
        <v>32764</v>
      </c>
      <c r="F27" s="16">
        <f>F26+'Cashflow'!D27</f>
        <v>13096.5</v>
      </c>
      <c r="G27" s="16">
        <v>29073</v>
      </c>
      <c r="H27" s="16">
        <v>23075</v>
      </c>
      <c r="I27" s="16">
        <f>G27+H27-C27-E27</f>
        <v>0</v>
      </c>
      <c r="J27" s="16">
        <f>C27-G27</f>
        <v>-9689</v>
      </c>
      <c r="K27" s="16"/>
    </row>
    <row r="28" ht="20.05" customHeight="1">
      <c r="B28" s="35">
        <v>2021</v>
      </c>
      <c r="C28" s="15">
        <v>17141</v>
      </c>
      <c r="D28" s="16">
        <v>52972</v>
      </c>
      <c r="E28" s="16">
        <f>D28-C28</f>
        <v>35831</v>
      </c>
      <c r="F28" s="16">
        <f>F27+'Cashflow'!D28</f>
        <v>14285.5</v>
      </c>
      <c r="G28" s="16">
        <v>28507</v>
      </c>
      <c r="H28" s="16">
        <v>24465</v>
      </c>
      <c r="I28" s="16">
        <f>G28+H28-C28-E28</f>
        <v>0</v>
      </c>
      <c r="J28" s="16">
        <f>C28-G28</f>
        <v>-11366</v>
      </c>
      <c r="K28" s="16"/>
    </row>
    <row r="29" ht="20.05" customHeight="1">
      <c r="B29" s="34"/>
      <c r="C29" s="15">
        <v>16229</v>
      </c>
      <c r="D29" s="16">
        <v>55146</v>
      </c>
      <c r="E29" s="16">
        <f>D29-C29</f>
        <v>38917</v>
      </c>
      <c r="F29" s="16">
        <f>F28+'Cashflow'!D29</f>
        <v>15555.5</v>
      </c>
      <c r="G29" s="16">
        <v>28896</v>
      </c>
      <c r="H29" s="16">
        <v>26250</v>
      </c>
      <c r="I29" s="16">
        <f>G29+H29-C29-E29</f>
        <v>0</v>
      </c>
      <c r="J29" s="16">
        <f>C29-G29</f>
        <v>-12667</v>
      </c>
      <c r="K29" s="16"/>
    </row>
    <row r="30" ht="20.05" customHeight="1">
      <c r="B30" s="34"/>
      <c r="C30" s="15">
        <v>16065</v>
      </c>
      <c r="D30" s="16">
        <v>57834</v>
      </c>
      <c r="E30" s="16">
        <f>D30-C30</f>
        <v>41769</v>
      </c>
      <c r="F30" s="16">
        <f>F29+'Cashflow'!D30</f>
        <v>17044.5</v>
      </c>
      <c r="G30" s="16">
        <f>29340</f>
        <v>29340</v>
      </c>
      <c r="H30" s="16">
        <v>28494</v>
      </c>
      <c r="I30" s="16">
        <f>G30+H30-C30-E30</f>
        <v>0</v>
      </c>
      <c r="J30" s="16">
        <f>C30-G30</f>
        <v>-13275</v>
      </c>
      <c r="K30" s="16"/>
    </row>
    <row r="31" ht="20.05" customHeight="1">
      <c r="B31" s="34"/>
      <c r="C31" s="15">
        <v>17576</v>
      </c>
      <c r="D31" s="16">
        <v>62131</v>
      </c>
      <c r="E31" s="16">
        <f>D31-C31</f>
        <v>44555</v>
      </c>
      <c r="F31" s="16">
        <f>F30+'Cashflow'!D31</f>
        <v>18431.5</v>
      </c>
      <c r="G31" s="16">
        <v>30548</v>
      </c>
      <c r="H31" s="16">
        <f>D31-G31</f>
        <v>31583</v>
      </c>
      <c r="I31" s="16">
        <f>G31+H31-C31-E31</f>
        <v>0</v>
      </c>
      <c r="J31" s="16">
        <f>C31-G31</f>
        <v>-12972</v>
      </c>
      <c r="K31" s="21"/>
    </row>
    <row r="32" ht="20.05" customHeight="1">
      <c r="B32" s="35">
        <v>2022</v>
      </c>
      <c r="C32" s="15">
        <f>C31+'Cashflow'!F32+'Cashflow'!G32+'Cashflow'!J32</f>
        <v>17490</v>
      </c>
      <c r="D32" s="16">
        <v>66038</v>
      </c>
      <c r="E32" s="16">
        <f>D32-C32</f>
        <v>48548</v>
      </c>
      <c r="F32" s="16">
        <f>F31+'Cashflow'!D32</f>
        <v>19748.5</v>
      </c>
      <c r="G32" s="16">
        <v>30632</v>
      </c>
      <c r="H32" s="16">
        <f>D32-G32</f>
        <v>35406</v>
      </c>
      <c r="I32" s="16">
        <f>G32+H32-C32-E32</f>
        <v>0</v>
      </c>
      <c r="J32" s="16">
        <f>C32-G32</f>
        <v>-13142</v>
      </c>
      <c r="K32" s="16">
        <f>J32</f>
        <v>-13142</v>
      </c>
    </row>
    <row r="33" ht="20.05" customHeight="1">
      <c r="B33" s="34"/>
      <c r="C33" s="15"/>
      <c r="D33" s="16"/>
      <c r="E33" s="16"/>
      <c r="F33" s="16"/>
      <c r="G33" s="16"/>
      <c r="H33" s="21"/>
      <c r="I33" s="16"/>
      <c r="J33" s="16"/>
      <c r="K33" s="16">
        <f>'Model'!F31</f>
        <v>-6281.5995067573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7" customWidth="1"/>
    <col min="2" max="5" width="11.0547" style="37" customWidth="1"/>
    <col min="6" max="16384" width="16.3516" style="37" customWidth="1"/>
  </cols>
  <sheetData>
    <row r="1" ht="40" customHeight="1"/>
    <row r="2" ht="27.65" customHeight="1">
      <c r="B2" t="s" s="2">
        <v>55</v>
      </c>
      <c r="C2" s="2"/>
      <c r="D2" s="2"/>
      <c r="E2" s="2"/>
    </row>
    <row r="3" ht="20.35" customHeight="1">
      <c r="B3" s="4"/>
      <c r="C3" t="s" s="38">
        <v>55</v>
      </c>
      <c r="D3" t="s" s="38">
        <v>39</v>
      </c>
      <c r="E3" t="s" s="38">
        <v>56</v>
      </c>
    </row>
    <row r="4" ht="20.7" customHeight="1">
      <c r="B4" s="31">
        <v>2018</v>
      </c>
      <c r="C4" s="39">
        <v>53.23</v>
      </c>
      <c r="D4" s="40"/>
      <c r="E4" s="40"/>
    </row>
    <row r="5" ht="20.7" customHeight="1">
      <c r="B5" s="34"/>
      <c r="C5" s="41">
        <v>68.59</v>
      </c>
      <c r="D5" s="42"/>
      <c r="E5" s="42"/>
    </row>
    <row r="6" ht="20.7" customHeight="1">
      <c r="B6" s="34"/>
      <c r="C6" s="41">
        <v>52.95</v>
      </c>
      <c r="D6" s="42"/>
      <c r="E6" s="42"/>
    </row>
    <row r="7" ht="20.7" customHeight="1">
      <c r="B7" s="34"/>
      <c r="C7" s="41">
        <v>66.56</v>
      </c>
      <c r="D7" s="42"/>
      <c r="E7" s="42"/>
    </row>
    <row r="8" ht="20.7" customHeight="1">
      <c r="B8" s="35">
        <v>2019</v>
      </c>
      <c r="C8" s="41">
        <v>55.97</v>
      </c>
      <c r="D8" s="42"/>
      <c r="E8" s="42"/>
    </row>
    <row r="9" ht="20.7" customHeight="1">
      <c r="B9" s="34"/>
      <c r="C9" s="41">
        <v>44.69</v>
      </c>
      <c r="D9" s="43"/>
      <c r="E9" s="43"/>
    </row>
    <row r="10" ht="20.35" customHeight="1">
      <c r="B10" s="34"/>
      <c r="C10" s="41">
        <v>48.17</v>
      </c>
      <c r="D10" s="44"/>
      <c r="E10" s="44"/>
    </row>
    <row r="11" ht="20.05" customHeight="1">
      <c r="B11" s="34"/>
      <c r="C11" s="41">
        <v>83.67</v>
      </c>
      <c r="D11" s="16"/>
      <c r="E11" s="16"/>
    </row>
    <row r="12" ht="20.05" customHeight="1">
      <c r="B12" s="35">
        <v>2020</v>
      </c>
      <c r="C12" s="41">
        <v>104.8</v>
      </c>
      <c r="D12" s="16"/>
      <c r="E12" s="16"/>
    </row>
    <row r="13" ht="20.05" customHeight="1">
      <c r="B13" s="34"/>
      <c r="C13" s="41">
        <v>215.96</v>
      </c>
      <c r="D13" s="16"/>
      <c r="E13" s="16"/>
    </row>
    <row r="14" ht="20.05" customHeight="1">
      <c r="B14" s="34"/>
      <c r="C14" s="15">
        <v>429.01001</v>
      </c>
      <c r="D14" s="16"/>
      <c r="E14" s="16"/>
    </row>
    <row r="15" ht="20.05" customHeight="1">
      <c r="B15" s="34"/>
      <c r="C15" s="15">
        <v>705.669983</v>
      </c>
      <c r="D15" s="16"/>
      <c r="E15" s="16"/>
    </row>
    <row r="16" ht="20.05" customHeight="1">
      <c r="B16" s="35">
        <v>2021</v>
      </c>
      <c r="C16" s="15">
        <v>667.929993</v>
      </c>
      <c r="D16" s="16"/>
      <c r="E16" s="16"/>
    </row>
    <row r="17" ht="20.05" customHeight="1">
      <c r="B17" s="34"/>
      <c r="C17" s="15">
        <v>677.92</v>
      </c>
      <c r="D17" s="16"/>
      <c r="E17" s="16"/>
    </row>
    <row r="18" ht="20.05" customHeight="1">
      <c r="B18" s="34"/>
      <c r="C18" s="15">
        <v>775.22</v>
      </c>
      <c r="D18" s="16"/>
      <c r="E18" s="16"/>
    </row>
    <row r="19" ht="20.05" customHeight="1">
      <c r="B19" s="34"/>
      <c r="C19" s="15">
        <v>1056.78</v>
      </c>
      <c r="D19" s="16"/>
      <c r="E19" s="16"/>
    </row>
    <row r="20" ht="20.05" customHeight="1">
      <c r="B20" s="35">
        <v>2022</v>
      </c>
      <c r="C20" s="15">
        <v>1077.6</v>
      </c>
      <c r="D20" s="21"/>
      <c r="E20" s="21"/>
    </row>
    <row r="21" ht="20.05" customHeight="1">
      <c r="B21" s="34"/>
      <c r="C21" s="15">
        <v>1028.15</v>
      </c>
      <c r="D21" s="16">
        <f>C21</f>
        <v>1028.15</v>
      </c>
      <c r="E21" s="16">
        <v>1126</v>
      </c>
    </row>
    <row r="22" ht="20.05" customHeight="1">
      <c r="B22" s="34"/>
      <c r="C22" s="15"/>
      <c r="D22" s="16">
        <f>'Model'!F44</f>
        <v>791.3903471317821</v>
      </c>
      <c r="E22" s="16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