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 " sheetId="4" r:id="rId7"/>
    <sheet name="Share price" sheetId="5" r:id="rId8"/>
    <sheet name="OJK" sheetId="6" r:id="rId9"/>
  </sheets>
</workbook>
</file>

<file path=xl/sharedStrings.xml><?xml version="1.0" encoding="utf-8"?>
<sst xmlns="http://schemas.openxmlformats.org/spreadsheetml/2006/main" uniqueCount="64">
  <si>
    <t>Financial model</t>
  </si>
  <si>
    <t>Rpbn</t>
  </si>
  <si>
    <t>4Q 2021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</si>
  <si>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</si>
  <si>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</si>
  <si>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</si>
  <si>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</si>
  <si>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</si>
  <si>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</si>
  <si>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</si>
  <si>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</si>
  <si>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</si>
  <si>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</si>
  <si>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</si>
  <si>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</si>
  <si>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</si>
  <si>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</si>
  <si>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</si>
  <si>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</si>
  <si>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</si>
  <si>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</si>
  <si>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</si>
  <si>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</si>
  <si>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</si>
  <si>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LT assets</t>
  </si>
  <si>
    <t xml:space="preserve">Equity </t>
  </si>
  <si>
    <t xml:space="preserve">Check </t>
  </si>
  <si>
    <t>Net cash</t>
  </si>
  <si>
    <t xml:space="preserve">Valuation </t>
  </si>
  <si>
    <t xml:space="preserve">Capital </t>
  </si>
  <si>
    <t>Current value</t>
  </si>
  <si>
    <t>P/assets</t>
  </si>
  <si>
    <t>Yield</t>
  </si>
  <si>
    <t xml:space="preserve">Payback </t>
  </si>
  <si>
    <t xml:space="preserve">Forecast </t>
  </si>
  <si>
    <t>Value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</si>
  <si>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</si>
  <si>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</si>
  <si>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</si>
  <si>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</si>
  <si>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</si>
  <si>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</si>
  <si>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Other non-cash costs</t>
  </si>
  <si>
    <t xml:space="preserve">Net income </t>
  </si>
  <si>
    <t xml:space="preserve">Sales growth </t>
  </si>
  <si>
    <t xml:space="preserve">Cost ratio </t>
  </si>
  <si>
    <t>Cashflow costs</t>
  </si>
  <si>
    <t>Qcashflow</t>
  </si>
  <si>
    <t xml:space="preserve">Receipts </t>
  </si>
  <si>
    <t>Interest</t>
  </si>
  <si>
    <t xml:space="preserve">Operating </t>
  </si>
  <si>
    <t xml:space="preserve">Investment </t>
  </si>
  <si>
    <t>Leasing</t>
  </si>
  <si>
    <t xml:space="preserve">Free cashflow </t>
  </si>
  <si>
    <t>Capital</t>
  </si>
  <si>
    <t xml:space="preserve">  Cash</t>
  </si>
  <si>
    <t>Assets</t>
  </si>
  <si>
    <t xml:space="preserve">Other assets </t>
  </si>
  <si>
    <t xml:space="preserve">Net cash </t>
  </si>
  <si>
    <t>Share price monthly</t>
  </si>
  <si>
    <t>TRIM</t>
  </si>
  <si>
    <t>Table 1</t>
  </si>
  <si>
    <t>OJK</t>
  </si>
  <si>
    <t>TRIM OJK levy % of sales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</si>
</sst>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0%_);[Red]\(0%\)"/>
    <numFmt numFmtId="61" formatCode="0.0%"/>
    <numFmt numFmtId="62" formatCode="0_);[Red]\(0\)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7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1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8923"/>
          <c:y val="0.0426778"/>
          <c:w val="0.802638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'OJK'!$E$3</c:f>
              <c:strCache>
                <c:ptCount val="1"/>
                <c:pt idx="0">
                  <c:v>TRIM OJK levy % of sales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'OJK'!$B$4:$B$11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strCache>
            </c:strRef>
          </c:cat>
          <c:val>
            <c:numRef>
              <c:f>'OJK'!$E$4:$E$11</c:f>
              <c:numCache>
                <c:ptCount val="8"/>
                <c:pt idx="0">
                  <c:v>0.007291</c:v>
                </c:pt>
                <c:pt idx="1">
                  <c:v>0.013497</c:v>
                </c:pt>
                <c:pt idx="2">
                  <c:v>0.017732</c:v>
                </c:pt>
                <c:pt idx="3">
                  <c:v>0.019241</c:v>
                </c:pt>
                <c:pt idx="4">
                  <c:v>0.026855</c:v>
                </c:pt>
                <c:pt idx="5">
                  <c:v>0.025306</c:v>
                </c:pt>
                <c:pt idx="6">
                  <c:v>0.027244</c:v>
                </c:pt>
                <c:pt idx="7">
                  <c:v>0.032453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0.01"/>
        <c:minorUnit val="0.00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77835"/>
          <c:y val="0.115985"/>
          <c:w val="0.644329"/>
          <c:h val="0.067677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567081</xdr:colOff>
      <xdr:row>8</xdr:row>
      <xdr:rowOff>33482</xdr:rowOff>
    </xdr:from>
    <xdr:to>
      <xdr:col>12</xdr:col>
      <xdr:colOff>568351</xdr:colOff>
      <xdr:row>8</xdr:row>
      <xdr:rowOff>33482</xdr:rowOff>
    </xdr:to>
    <xdr:sp>
      <xdr:nvSpPr>
        <xdr:cNvPr id="2" name="Drawing"/>
        <xdr:cNvSpPr/>
      </xdr:nvSpPr>
      <xdr:spPr>
        <a:xfrm>
          <a:off x="12301881" y="2192482"/>
          <a:ext cx="1271" cy="1"/>
        </a:xfrm>
        <a:prstGeom prst="ellipse">
          <a:avLst/>
        </a:prstGeom>
        <a:noFill/>
        <a:ln w="25400" cap="rnd">
          <a:solidFill>
            <a:srgbClr val="000000"/>
          </a:solidFill>
          <a:prstDash val="solid"/>
          <a:round/>
        </a:ln>
        <a:effectLst/>
      </xdr:spPr>
      <xdr:txBody>
        <a:bodyPr/>
        <a:lstStyle/>
        <a:p>
          <a:pPr/>
        </a:p>
      </xdr:txBody>
    </xdr:sp>
    <xdr:clientData/>
  </xdr:twoCellAnchor>
  <xdr:twoCellAnchor>
    <xdr:from>
      <xdr:col>6</xdr:col>
      <xdr:colOff>957502</xdr:colOff>
      <xdr:row>1</xdr:row>
      <xdr:rowOff>165382</xdr:rowOff>
    </xdr:from>
    <xdr:to>
      <xdr:col>13</xdr:col>
      <xdr:colOff>260548</xdr:colOff>
      <xdr:row>46</xdr:row>
      <xdr:rowOff>137434</xdr:rowOff>
    </xdr:to>
    <xdr:pic>
      <xdr:nvPicPr>
        <xdr:cNvPr id="3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24702" y="439702"/>
          <a:ext cx="8015247" cy="115557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239144</xdr:colOff>
      <xdr:row>16</xdr:row>
      <xdr:rowOff>79461</xdr:rowOff>
    </xdr:from>
    <xdr:to>
      <xdr:col>5</xdr:col>
      <xdr:colOff>923529</xdr:colOff>
      <xdr:row>30</xdr:row>
      <xdr:rowOff>28865</xdr:rowOff>
    </xdr:to>
    <xdr:graphicFrame>
      <xdr:nvGraphicFramePr>
        <xdr:cNvPr id="5" name="2D Line Chart"/>
        <xdr:cNvGraphicFramePr/>
      </xdr:nvGraphicFramePr>
      <xdr:xfrm>
        <a:off x="1674244" y="6212926"/>
        <a:ext cx="3046586" cy="3487625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5625" style="1" customWidth="1"/>
    <col min="2" max="2" width="14.1172" style="1" customWidth="1"/>
    <col min="3" max="6" width="9.39062" style="1" customWidth="1"/>
    <col min="7" max="16384" width="16.3516" style="1" customWidth="1"/>
  </cols>
  <sheetData>
    <row r="1" ht="21.6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t="s" s="3">
        <v>2</v>
      </c>
      <c r="D3" s="4"/>
      <c r="E3" s="4"/>
      <c r="F3" s="4"/>
    </row>
    <row r="4" ht="20.3" customHeight="1">
      <c r="B4" t="s" s="5">
        <v>3</v>
      </c>
      <c r="C4" s="6">
        <f>AVERAGE('Sales'!H27:H30)</f>
        <v>0.0232784620966234</v>
      </c>
      <c r="D4" s="7"/>
      <c r="E4" s="7"/>
      <c r="F4" s="8">
        <f>AVERAGE(C5:F5)</f>
        <v>0.04</v>
      </c>
    </row>
    <row r="5" ht="20.1" customHeight="1">
      <c r="B5" t="s" s="9">
        <v>4</v>
      </c>
      <c r="C5" s="10">
        <v>0.1</v>
      </c>
      <c r="D5" s="11">
        <v>-0.01</v>
      </c>
      <c r="E5" s="11">
        <v>0.02</v>
      </c>
      <c r="F5" s="11">
        <v>0.05</v>
      </c>
    </row>
    <row r="6" ht="20.1" customHeight="1">
      <c r="B6" t="s" s="9">
        <v>5</v>
      </c>
      <c r="C6" s="12">
        <f>'Sales'!C30*(1+C5)</f>
        <v>124.63</v>
      </c>
      <c r="D6" s="13">
        <f>C6*(1+D5)</f>
        <v>123.3837</v>
      </c>
      <c r="E6" s="13">
        <f>D6*(1+E5)</f>
        <v>125.851374</v>
      </c>
      <c r="F6" s="13">
        <f>E6*(1+F5)</f>
        <v>132.1439427</v>
      </c>
    </row>
    <row r="7" ht="20.1" customHeight="1">
      <c r="B7" t="s" s="9">
        <v>6</v>
      </c>
      <c r="C7" s="14">
        <f>AVERAGE('Sales'!I28)</f>
        <v>-0.8098591549295771</v>
      </c>
      <c r="D7" s="15">
        <f>C7</f>
        <v>-0.8098591549295771</v>
      </c>
      <c r="E7" s="15">
        <f>D7</f>
        <v>-0.8098591549295771</v>
      </c>
      <c r="F7" s="15">
        <f>E7</f>
        <v>-0.8098591549295771</v>
      </c>
    </row>
    <row r="8" ht="20.1" customHeight="1">
      <c r="B8" t="s" s="9">
        <v>7</v>
      </c>
      <c r="C8" s="16">
        <f>C7*C6</f>
        <v>-100.932746478873</v>
      </c>
      <c r="D8" s="17">
        <f>D7*D6</f>
        <v>-99.9234190140844</v>
      </c>
      <c r="E8" s="17">
        <f>E7*E6</f>
        <v>-101.921887394366</v>
      </c>
      <c r="F8" s="17">
        <f>F7*F6</f>
        <v>-107.017981764084</v>
      </c>
    </row>
    <row r="9" ht="20.1" customHeight="1">
      <c r="B9" t="s" s="9">
        <v>8</v>
      </c>
      <c r="C9" s="18">
        <f>C6+C8</f>
        <v>23.697253521127</v>
      </c>
      <c r="D9" s="19">
        <f>D6+D8</f>
        <v>23.4602809859156</v>
      </c>
      <c r="E9" s="19">
        <f>E6+E8</f>
        <v>23.929486605634</v>
      </c>
      <c r="F9" s="19">
        <f>F6+F8</f>
        <v>25.125960935916</v>
      </c>
    </row>
    <row r="10" ht="20.05" customHeight="1">
      <c r="B10" t="s" s="9">
        <v>9</v>
      </c>
      <c r="C10" s="16">
        <f>AVERAGE('Cashflow'!F30)</f>
        <v>-0.4</v>
      </c>
      <c r="D10" s="17">
        <f>C10</f>
        <v>-0.4</v>
      </c>
      <c r="E10" s="17">
        <f>D10</f>
        <v>-0.4</v>
      </c>
      <c r="F10" s="17">
        <f>E10</f>
        <v>-0.4</v>
      </c>
    </row>
    <row r="11" ht="20.1" customHeight="1">
      <c r="B11" t="s" s="9">
        <v>10</v>
      </c>
      <c r="C11" s="16">
        <f>C12+C13+C15</f>
        <v>-23.297253521127</v>
      </c>
      <c r="D11" s="17">
        <f>D12+D13+D15</f>
        <v>-23.0602809859156</v>
      </c>
      <c r="E11" s="17">
        <f>E12+E13+E15</f>
        <v>-23.529486605634</v>
      </c>
      <c r="F11" s="17">
        <f>F12+F13+F15</f>
        <v>-24.725960935916</v>
      </c>
    </row>
    <row r="12" ht="20.1" customHeight="1">
      <c r="B12" t="s" s="9">
        <v>11</v>
      </c>
      <c r="C12" s="16">
        <f>-'Balance Sheet '!F29/20</f>
        <v>-114.3</v>
      </c>
      <c r="D12" s="17">
        <f>-C26/20</f>
        <v>-108.585</v>
      </c>
      <c r="E12" s="17">
        <f>-D26/20</f>
        <v>-103.15575</v>
      </c>
      <c r="F12" s="17">
        <f>-E26/20</f>
        <v>-97.9979625</v>
      </c>
    </row>
    <row r="13" ht="20.1" customHeight="1">
      <c r="B13" t="s" s="9">
        <v>12</v>
      </c>
      <c r="C13" s="16">
        <f>IF(C21&gt;0,-C21*0.3,0)</f>
        <v>-5.5491760563381</v>
      </c>
      <c r="D13" s="17">
        <f>IF(D21&gt;0,-D21*0.3,0)</f>
        <v>-5.47808429577468</v>
      </c>
      <c r="E13" s="17">
        <f>IF(E21&gt;0,-E21*0.3,0)</f>
        <v>-5.6188459816902</v>
      </c>
      <c r="F13" s="17">
        <f>IF(F21&gt;0,-F21*0.3,0)</f>
        <v>-5.9777882807748</v>
      </c>
    </row>
    <row r="14" ht="20.05" customHeight="1">
      <c r="B14" t="s" s="9">
        <v>13</v>
      </c>
      <c r="C14" s="16">
        <f>C9+C10+C12+C13</f>
        <v>-96.55192253521111</v>
      </c>
      <c r="D14" s="17">
        <f>D9+D10+D12+D13</f>
        <v>-91.0028033098591</v>
      </c>
      <c r="E14" s="17">
        <f>E9+E10+E12+E13</f>
        <v>-85.24510937605621</v>
      </c>
      <c r="F14" s="17">
        <f>F9+F10+F12+F13</f>
        <v>-79.2497898448588</v>
      </c>
    </row>
    <row r="15" ht="20.1" customHeight="1">
      <c r="B15" t="s" s="9">
        <v>14</v>
      </c>
      <c r="C15" s="16">
        <f>-MIN(0,C14)</f>
        <v>96.55192253521111</v>
      </c>
      <c r="D15" s="17">
        <f>-MIN(C27,D14)</f>
        <v>91.0028033098591</v>
      </c>
      <c r="E15" s="17">
        <f>-MIN(D27,E14)</f>
        <v>85.24510937605621</v>
      </c>
      <c r="F15" s="17">
        <f>-MIN(E27,F14)</f>
        <v>79.2497898448588</v>
      </c>
    </row>
    <row r="16" ht="20.1" customHeight="1">
      <c r="B16" t="s" s="9">
        <v>15</v>
      </c>
      <c r="C16" s="16">
        <f>'Balance Sheet '!B29</f>
        <v>520</v>
      </c>
      <c r="D16" s="17">
        <f>C18</f>
        <v>520</v>
      </c>
      <c r="E16" s="17">
        <f>D18</f>
        <v>520</v>
      </c>
      <c r="F16" s="17">
        <f>E18</f>
        <v>520</v>
      </c>
    </row>
    <row r="17" ht="20.1" customHeight="1">
      <c r="B17" t="s" s="9">
        <v>16</v>
      </c>
      <c r="C17" s="16">
        <f>C9+C10+C11</f>
        <v>0</v>
      </c>
      <c r="D17" s="17">
        <f>D9+D10+D11</f>
        <v>0</v>
      </c>
      <c r="E17" s="17">
        <f>E9+E10+E11</f>
        <v>0</v>
      </c>
      <c r="F17" s="17">
        <f>F9+F10+F11</f>
        <v>0</v>
      </c>
    </row>
    <row r="18" ht="20.1" customHeight="1">
      <c r="B18" t="s" s="9">
        <v>17</v>
      </c>
      <c r="C18" s="16">
        <f>C16+C17</f>
        <v>520</v>
      </c>
      <c r="D18" s="17">
        <f>D16+D17</f>
        <v>520</v>
      </c>
      <c r="E18" s="17">
        <f>E16+E17</f>
        <v>520</v>
      </c>
      <c r="F18" s="17">
        <f>F16+F17</f>
        <v>520</v>
      </c>
    </row>
    <row r="19" ht="20.1" customHeight="1">
      <c r="B19" t="s" s="20">
        <v>18</v>
      </c>
      <c r="C19" s="21"/>
      <c r="D19" s="22"/>
      <c r="E19" s="22"/>
      <c r="F19" s="23"/>
    </row>
    <row r="20" ht="20.1" customHeight="1">
      <c r="B20" t="s" s="9">
        <v>19</v>
      </c>
      <c r="C20" s="16">
        <f>-AVERAGE('Sales'!E30)</f>
        <v>-5.2</v>
      </c>
      <c r="D20" s="17">
        <f>C20</f>
        <v>-5.2</v>
      </c>
      <c r="E20" s="17">
        <f>D20</f>
        <v>-5.2</v>
      </c>
      <c r="F20" s="17">
        <f>E20</f>
        <v>-5.2</v>
      </c>
    </row>
    <row r="21" ht="20.1" customHeight="1">
      <c r="B21" t="s" s="9">
        <v>20</v>
      </c>
      <c r="C21" s="16">
        <f>C6+C8+C20</f>
        <v>18.497253521127</v>
      </c>
      <c r="D21" s="17">
        <f>D6+D8+D20</f>
        <v>18.2602809859156</v>
      </c>
      <c r="E21" s="17">
        <f>E6+E8+E20</f>
        <v>18.729486605634</v>
      </c>
      <c r="F21" s="17">
        <f>F6+F8+F20</f>
        <v>19.925960935916</v>
      </c>
    </row>
    <row r="22" ht="20.1" customHeight="1">
      <c r="B22" t="s" s="20">
        <v>21</v>
      </c>
      <c r="C22" s="21"/>
      <c r="D22" s="22"/>
      <c r="E22" s="22"/>
      <c r="F22" s="22"/>
    </row>
    <row r="23" ht="20.1" customHeight="1">
      <c r="B23" t="s" s="9">
        <v>22</v>
      </c>
      <c r="C23" s="16">
        <f>'Balance Sheet '!D29+'Balance Sheet '!E29-C10</f>
        <v>2780.4</v>
      </c>
      <c r="D23" s="17">
        <f>C23-D10</f>
        <v>2780.8</v>
      </c>
      <c r="E23" s="17">
        <f>D23-E10</f>
        <v>2781.2</v>
      </c>
      <c r="F23" s="17">
        <f>E23-F10</f>
        <v>2781.6</v>
      </c>
    </row>
    <row r="24" ht="20.1" customHeight="1">
      <c r="B24" t="s" s="9">
        <v>23</v>
      </c>
      <c r="C24" s="16">
        <f>'Balance Sheet '!E29-C20</f>
        <v>148.2</v>
      </c>
      <c r="D24" s="17">
        <f>C24-D20</f>
        <v>153.4</v>
      </c>
      <c r="E24" s="17">
        <f>D24-E20</f>
        <v>158.6</v>
      </c>
      <c r="F24" s="17">
        <f>E24-F20</f>
        <v>163.8</v>
      </c>
    </row>
    <row r="25" ht="20.1" customHeight="1">
      <c r="B25" t="s" s="9">
        <v>24</v>
      </c>
      <c r="C25" s="16">
        <f>C23-C24</f>
        <v>2632.2</v>
      </c>
      <c r="D25" s="17">
        <f>D23-D24</f>
        <v>2627.4</v>
      </c>
      <c r="E25" s="17">
        <f>E23-E24</f>
        <v>2622.6</v>
      </c>
      <c r="F25" s="17">
        <f>F23-F24</f>
        <v>2617.8</v>
      </c>
    </row>
    <row r="26" ht="20.1" customHeight="1">
      <c r="B26" t="s" s="9">
        <v>11</v>
      </c>
      <c r="C26" s="16">
        <f>'Balance Sheet '!F29+C12</f>
        <v>2171.7</v>
      </c>
      <c r="D26" s="17">
        <f>C26+D12</f>
        <v>2063.115</v>
      </c>
      <c r="E26" s="17">
        <f>D26+E12</f>
        <v>1959.95925</v>
      </c>
      <c r="F26" s="17">
        <f>E26+F12</f>
        <v>1861.9612875</v>
      </c>
    </row>
    <row r="27" ht="20.1" customHeight="1">
      <c r="B27" t="s" s="9">
        <v>14</v>
      </c>
      <c r="C27" s="16">
        <f>C15</f>
        <v>96.55192253521111</v>
      </c>
      <c r="D27" s="17">
        <f>C27+D15</f>
        <v>187.554725845070</v>
      </c>
      <c r="E27" s="17">
        <f>D27+E15</f>
        <v>272.799835221126</v>
      </c>
      <c r="F27" s="17">
        <f>E27+F15</f>
        <v>352.049625065985</v>
      </c>
    </row>
    <row r="28" ht="20.1" customHeight="1">
      <c r="B28" t="s" s="9">
        <v>25</v>
      </c>
      <c r="C28" s="16">
        <f>'Balance Sheet '!G29+C21+C13</f>
        <v>883.948077464789</v>
      </c>
      <c r="D28" s="17">
        <f>C28+D21+D13</f>
        <v>896.730274154930</v>
      </c>
      <c r="E28" s="17">
        <f>D28+E21+E13</f>
        <v>909.840914778874</v>
      </c>
      <c r="F28" s="17">
        <f>E28+F21+F13</f>
        <v>923.789087434015</v>
      </c>
    </row>
    <row r="29" ht="20.1" customHeight="1">
      <c r="B29" t="s" s="9">
        <v>26</v>
      </c>
      <c r="C29" s="18">
        <f>C26+C27+C28-C18-C25</f>
        <v>1e-13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1" customHeight="1">
      <c r="B30" t="s" s="9">
        <v>27</v>
      </c>
      <c r="C30" s="16">
        <f>C18-C26-C27</f>
        <v>-1748.251922535210</v>
      </c>
      <c r="D30" s="17">
        <f>D18-D26-D27</f>
        <v>-1730.669725845070</v>
      </c>
      <c r="E30" s="17">
        <f>E18-E26-E27</f>
        <v>-1712.759085221130</v>
      </c>
      <c r="F30" s="17">
        <f>F18-F26-F27</f>
        <v>-1694.010912565990</v>
      </c>
    </row>
    <row r="31" ht="20.1" customHeight="1">
      <c r="B31" t="s" s="20">
        <v>28</v>
      </c>
      <c r="C31" s="16"/>
      <c r="D31" s="17"/>
      <c r="E31" s="17"/>
      <c r="F31" s="17"/>
    </row>
    <row r="32" ht="20.1" customHeight="1">
      <c r="B32" t="s" s="9">
        <v>29</v>
      </c>
      <c r="C32" s="16">
        <f>'Cashflow'!K30-C11</f>
        <v>101.497253521127</v>
      </c>
      <c r="D32" s="17">
        <f>C32-D11</f>
        <v>124.557534507043</v>
      </c>
      <c r="E32" s="17">
        <f>D32-E11</f>
        <v>148.087021112677</v>
      </c>
      <c r="F32" s="17">
        <f>E32-F11</f>
        <v>172.812982048593</v>
      </c>
    </row>
    <row r="33" ht="20.1" customHeight="1">
      <c r="B33" t="s" s="9">
        <v>30</v>
      </c>
      <c r="C33" s="16"/>
      <c r="D33" s="17"/>
      <c r="E33" s="17"/>
      <c r="F33" s="17">
        <v>3228</v>
      </c>
    </row>
    <row r="34" ht="20.1" customHeight="1">
      <c r="B34" t="s" s="9">
        <v>31</v>
      </c>
      <c r="C34" s="16"/>
      <c r="D34" s="17"/>
      <c r="E34" s="17"/>
      <c r="F34" s="24">
        <f>F33/(F18+F25)</f>
        <v>1.02874625533813</v>
      </c>
    </row>
    <row r="35" ht="20.1" customHeight="1">
      <c r="B35" t="s" s="9">
        <v>32</v>
      </c>
      <c r="C35" s="16"/>
      <c r="D35" s="17"/>
      <c r="E35" s="17"/>
      <c r="F35" s="15">
        <f>-(C13+D13+E13+F13)/F33</f>
        <v>0.00700864145433017</v>
      </c>
    </row>
    <row r="36" ht="20.1" customHeight="1">
      <c r="B36" t="s" s="9">
        <v>3</v>
      </c>
      <c r="C36" s="16"/>
      <c r="D36" s="17"/>
      <c r="E36" s="17"/>
      <c r="F36" s="17">
        <f>SUM(C9:F10)</f>
        <v>94.6129820485926</v>
      </c>
    </row>
    <row r="37" ht="20.1" customHeight="1">
      <c r="B37" t="s" s="9">
        <v>33</v>
      </c>
      <c r="C37" s="16"/>
      <c r="D37" s="17"/>
      <c r="E37" s="17"/>
      <c r="F37" s="17">
        <f>'Balance Sheet '!D28/F36</f>
        <v>21.8468962212649</v>
      </c>
    </row>
    <row r="38" ht="20.1" customHeight="1">
      <c r="B38" t="s" s="9">
        <v>28</v>
      </c>
      <c r="C38" s="16"/>
      <c r="D38" s="17"/>
      <c r="E38" s="17"/>
      <c r="F38" s="17">
        <f>F33/F36</f>
        <v>34.1179395269681</v>
      </c>
    </row>
    <row r="39" ht="20.1" customHeight="1">
      <c r="B39" t="s" s="9">
        <v>34</v>
      </c>
      <c r="C39" s="16"/>
      <c r="D39" s="17"/>
      <c r="E39" s="17"/>
      <c r="F39" s="17">
        <v>25</v>
      </c>
    </row>
    <row r="40" ht="20.1" customHeight="1">
      <c r="B40" t="s" s="9">
        <v>35</v>
      </c>
      <c r="C40" s="16"/>
      <c r="D40" s="17"/>
      <c r="E40" s="17"/>
      <c r="F40" s="17">
        <f>F36*F39</f>
        <v>2365.324551214820</v>
      </c>
    </row>
    <row r="41" ht="20.1" customHeight="1">
      <c r="B41" t="s" s="9">
        <v>36</v>
      </c>
      <c r="C41" s="16"/>
      <c r="D41" s="17"/>
      <c r="E41" s="17"/>
      <c r="F41" s="17">
        <f>F33/F43</f>
        <v>7.11013215859031</v>
      </c>
    </row>
    <row r="42" ht="20.1" customHeight="1">
      <c r="B42" t="s" s="9">
        <v>37</v>
      </c>
      <c r="C42" s="16"/>
      <c r="D42" s="17"/>
      <c r="E42" s="17"/>
      <c r="F42" s="17">
        <f>F40/F41</f>
        <v>332.669562035789</v>
      </c>
    </row>
    <row r="43" ht="20.1" customHeight="1">
      <c r="B43" t="s" s="9">
        <v>38</v>
      </c>
      <c r="C43" s="16"/>
      <c r="D43" s="17"/>
      <c r="E43" s="17"/>
      <c r="F43" s="17">
        <f>'Share price'!C98</f>
        <v>454</v>
      </c>
    </row>
    <row r="44" ht="20.1" customHeight="1">
      <c r="B44" t="s" s="9">
        <v>39</v>
      </c>
      <c r="C44" s="16"/>
      <c r="D44" s="17"/>
      <c r="E44" s="17"/>
      <c r="F44" s="15">
        <f>F42/F43-1</f>
        <v>-0.267247660714121</v>
      </c>
    </row>
    <row r="45" ht="20.1" customHeight="1">
      <c r="B45" t="s" s="9">
        <v>40</v>
      </c>
      <c r="C45" s="16"/>
      <c r="D45" s="17"/>
      <c r="E45" s="17"/>
      <c r="F45" s="15">
        <f>'Sales'!C30/'Sales'!C26-1</f>
        <v>0.06484962406015039</v>
      </c>
    </row>
    <row r="46" ht="20.1" customHeight="1">
      <c r="B46" t="s" s="9">
        <v>41</v>
      </c>
      <c r="C46" s="16"/>
      <c r="D46" s="17"/>
      <c r="E46" s="17"/>
      <c r="F46" s="15">
        <f>('Sales'!D22+'Sales'!D23+'Sales'!D24+'Sales'!D25+'Sales'!D26+'Sales'!D27+'Sales'!D28+'Sales'!D29+'Sales'!D30)/('Sales'!C22+'Sales'!C23+'Sales'!C24+'Sales'!C25+'Sales'!C26+'Sales'!C27+'Sales'!C28+'Sales'!C29+'Sales'!C30)-1</f>
        <v>0.0470749494949495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1719" style="25" customWidth="1"/>
    <col min="2" max="2" width="9.92969" style="25" customWidth="1"/>
    <col min="3" max="11" width="10.5312" style="25" customWidth="1"/>
    <col min="12" max="16384" width="16.3516" style="25" customWidth="1"/>
  </cols>
  <sheetData>
    <row r="1" ht="53.2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5</v>
      </c>
      <c r="D3" t="s" s="26">
        <v>34</v>
      </c>
      <c r="E3" t="s" s="26">
        <v>23</v>
      </c>
      <c r="F3" t="s" s="26">
        <v>42</v>
      </c>
      <c r="G3" t="s" s="26">
        <v>43</v>
      </c>
      <c r="H3" t="s" s="26">
        <v>44</v>
      </c>
      <c r="I3" t="s" s="26">
        <v>45</v>
      </c>
      <c r="J3" t="s" s="26">
        <v>46</v>
      </c>
      <c r="K3" t="s" s="26">
        <v>46</v>
      </c>
    </row>
    <row r="4" ht="20.25" customHeight="1">
      <c r="B4" s="27">
        <v>2015</v>
      </c>
      <c r="C4" s="28">
        <v>91</v>
      </c>
      <c r="D4" s="7"/>
      <c r="E4" s="29">
        <v>2</v>
      </c>
      <c r="F4" s="29"/>
      <c r="G4" s="29">
        <v>15</v>
      </c>
      <c r="H4" s="30"/>
      <c r="I4" s="31">
        <f>(E4+G4-C4)/C4</f>
        <v>-0.813186813186813</v>
      </c>
      <c r="J4" s="30"/>
      <c r="K4" s="30"/>
    </row>
    <row r="5" ht="20.05" customHeight="1">
      <c r="B5" s="32"/>
      <c r="C5" s="33">
        <v>79</v>
      </c>
      <c r="D5" s="23"/>
      <c r="E5" s="34">
        <v>3</v>
      </c>
      <c r="F5" s="34"/>
      <c r="G5" s="34">
        <v>8</v>
      </c>
      <c r="H5" s="15">
        <f>C5/C4-1</f>
        <v>-0.131868131868132</v>
      </c>
      <c r="I5" s="15">
        <f>(E5+G5-C5)/C5</f>
        <v>-0.860759493670886</v>
      </c>
      <c r="J5" s="11"/>
      <c r="K5" s="11"/>
    </row>
    <row r="6" ht="20.05" customHeight="1">
      <c r="B6" s="32"/>
      <c r="C6" s="33">
        <v>68</v>
      </c>
      <c r="D6" s="23"/>
      <c r="E6" s="34">
        <v>2</v>
      </c>
      <c r="F6" s="34"/>
      <c r="G6" s="34">
        <v>2</v>
      </c>
      <c r="H6" s="15">
        <f>C6/C5-1</f>
        <v>-0.139240506329114</v>
      </c>
      <c r="I6" s="15">
        <f>(E6+G6-C6)/C6</f>
        <v>-0.9411764705882349</v>
      </c>
      <c r="J6" s="11"/>
      <c r="K6" s="11"/>
    </row>
    <row r="7" ht="20.05" customHeight="1">
      <c r="B7" s="32"/>
      <c r="C7" s="33">
        <v>85</v>
      </c>
      <c r="D7" s="23"/>
      <c r="E7" s="34">
        <v>3</v>
      </c>
      <c r="F7" s="34"/>
      <c r="G7" s="34">
        <v>8</v>
      </c>
      <c r="H7" s="15">
        <f>C7/C6-1</f>
        <v>0.25</v>
      </c>
      <c r="I7" s="15">
        <f>(E7+G7-C7)/C7</f>
        <v>-0.870588235294118</v>
      </c>
      <c r="J7" s="11"/>
      <c r="K7" s="11"/>
    </row>
    <row r="8" ht="20.05" customHeight="1">
      <c r="B8" s="35">
        <v>2016</v>
      </c>
      <c r="C8" s="33">
        <v>95</v>
      </c>
      <c r="D8" s="23"/>
      <c r="E8" s="34">
        <v>2</v>
      </c>
      <c r="F8" s="34"/>
      <c r="G8" s="34">
        <v>11</v>
      </c>
      <c r="H8" s="15">
        <f>C8/C7-1</f>
        <v>0.117647058823529</v>
      </c>
      <c r="I8" s="15">
        <f>(E8+G8-C8)/C8</f>
        <v>-0.863157894736842</v>
      </c>
      <c r="J8" s="23"/>
      <c r="K8" s="23"/>
    </row>
    <row r="9" ht="20.05" customHeight="1">
      <c r="B9" s="32"/>
      <c r="C9" s="33">
        <v>92</v>
      </c>
      <c r="D9" s="23"/>
      <c r="E9" s="34">
        <v>3</v>
      </c>
      <c r="F9" s="34"/>
      <c r="G9" s="34">
        <v>12</v>
      </c>
      <c r="H9" s="15">
        <f>C9/C8-1</f>
        <v>-0.0315789473684211</v>
      </c>
      <c r="I9" s="15">
        <f>(E9+G9-C9)/C9</f>
        <v>-0.83695652173913</v>
      </c>
      <c r="J9" s="23"/>
      <c r="K9" s="23"/>
    </row>
    <row r="10" ht="20.05" customHeight="1">
      <c r="B10" s="32"/>
      <c r="C10" s="33">
        <v>101</v>
      </c>
      <c r="D10" s="23"/>
      <c r="E10" s="34">
        <v>2</v>
      </c>
      <c r="F10" s="34"/>
      <c r="G10" s="34">
        <v>12</v>
      </c>
      <c r="H10" s="15">
        <f>C10/C9-1</f>
        <v>0.0978260869565217</v>
      </c>
      <c r="I10" s="15">
        <f>(E10+G10-C10)/C10</f>
        <v>-0.861386138613861</v>
      </c>
      <c r="J10" s="23"/>
      <c r="K10" s="23"/>
    </row>
    <row r="11" ht="20.05" customHeight="1">
      <c r="B11" s="32"/>
      <c r="C11" s="33">
        <v>107</v>
      </c>
      <c r="D11" s="23"/>
      <c r="E11" s="34">
        <v>2</v>
      </c>
      <c r="F11" s="34"/>
      <c r="G11" s="34">
        <v>12</v>
      </c>
      <c r="H11" s="15">
        <f>C11/C10-1</f>
        <v>0.0594059405940594</v>
      </c>
      <c r="I11" s="15">
        <f>(E11+G11-C11)/C11</f>
        <v>-0.869158878504673</v>
      </c>
      <c r="J11" s="23"/>
      <c r="K11" s="23"/>
    </row>
    <row r="12" ht="20.05" customHeight="1">
      <c r="B12" s="35">
        <v>2017</v>
      </c>
      <c r="C12" s="33">
        <v>95</v>
      </c>
      <c r="D12" s="23"/>
      <c r="E12" s="34">
        <v>2</v>
      </c>
      <c r="F12" s="34"/>
      <c r="G12" s="34">
        <v>13</v>
      </c>
      <c r="H12" s="15">
        <f>C12/C11-1</f>
        <v>-0.11214953271028</v>
      </c>
      <c r="I12" s="15">
        <f>(E12+G12-C12)/C12</f>
        <v>-0.842105263157895</v>
      </c>
      <c r="J12" s="23"/>
      <c r="K12" s="15">
        <f>('Cashflow'!E12+'Cashflow'!D12-'Cashflow'!C12)/'Cashflow'!C12</f>
        <v>-2.0948275862069</v>
      </c>
    </row>
    <row r="13" ht="20.05" customHeight="1">
      <c r="B13" s="32"/>
      <c r="C13" s="33">
        <v>98</v>
      </c>
      <c r="D13" s="23"/>
      <c r="E13" s="34">
        <v>2</v>
      </c>
      <c r="F13" s="34"/>
      <c r="G13" s="34">
        <v>12</v>
      </c>
      <c r="H13" s="15">
        <f>C13/C12-1</f>
        <v>0.0315789473684211</v>
      </c>
      <c r="I13" s="15">
        <f>(E13+G13-C13)/C13</f>
        <v>-0.857142857142857</v>
      </c>
      <c r="J13" s="23"/>
      <c r="K13" s="15">
        <f>('Cashflow'!E13+'Cashflow'!D13-'Cashflow'!C13)/'Cashflow'!C13</f>
        <v>-1.10191897654584</v>
      </c>
    </row>
    <row r="14" ht="20.05" customHeight="1">
      <c r="B14" s="32"/>
      <c r="C14" s="33">
        <v>99</v>
      </c>
      <c r="D14" s="23"/>
      <c r="E14" s="34">
        <v>3</v>
      </c>
      <c r="F14" s="34"/>
      <c r="G14" s="34">
        <v>16</v>
      </c>
      <c r="H14" s="15">
        <f>C14/C13-1</f>
        <v>0.0102040816326531</v>
      </c>
      <c r="I14" s="15">
        <f>(E14+G14-C14)/C14</f>
        <v>-0.808080808080808</v>
      </c>
      <c r="J14" s="23"/>
      <c r="K14" s="15">
        <f>('Cashflow'!E14+'Cashflow'!D14-'Cashflow'!C14)/'Cashflow'!C14</f>
        <v>1.63863636363636</v>
      </c>
    </row>
    <row r="15" ht="20.05" customHeight="1">
      <c r="B15" s="32"/>
      <c r="C15" s="33">
        <v>111</v>
      </c>
      <c r="D15" s="23"/>
      <c r="E15" s="34">
        <v>3</v>
      </c>
      <c r="F15" s="34"/>
      <c r="G15" s="34">
        <v>13</v>
      </c>
      <c r="H15" s="15">
        <f>C15/C14-1</f>
        <v>0.121212121212121</v>
      </c>
      <c r="I15" s="15">
        <f>(E15+G15-C15)/C15</f>
        <v>-0.855855855855856</v>
      </c>
      <c r="J15" s="15">
        <f>AVERAGE(K12:K15)</f>
        <v>-0.666441130026008</v>
      </c>
      <c r="K15" s="15">
        <f>('Cashflow'!E15+'Cashflow'!D15-'Cashflow'!C15)/'Cashflow'!C15</f>
        <v>-1.10765432098765</v>
      </c>
    </row>
    <row r="16" ht="20.05" customHeight="1">
      <c r="B16" s="35">
        <v>2018</v>
      </c>
      <c r="C16" s="33">
        <v>118</v>
      </c>
      <c r="D16" s="23"/>
      <c r="E16" s="34">
        <v>3</v>
      </c>
      <c r="F16" s="34"/>
      <c r="G16" s="34">
        <v>18</v>
      </c>
      <c r="H16" s="15">
        <f>C16/C15-1</f>
        <v>0.0630630630630631</v>
      </c>
      <c r="I16" s="15">
        <f>(E16+G16-C16)/C16</f>
        <v>-0.822033898305085</v>
      </c>
      <c r="J16" s="15">
        <f>AVERAGE(K13:K16)</f>
        <v>-0.5816143596572479</v>
      </c>
      <c r="K16" s="15">
        <f>('Cashflow'!E16+'Cashflow'!D16-'Cashflow'!C16)/'Cashflow'!C16</f>
        <v>-1.75552050473186</v>
      </c>
    </row>
    <row r="17" ht="20.05" customHeight="1">
      <c r="B17" s="32"/>
      <c r="C17" s="33">
        <v>115</v>
      </c>
      <c r="D17" s="23"/>
      <c r="E17" s="34">
        <v>3</v>
      </c>
      <c r="F17" s="34"/>
      <c r="G17" s="34">
        <v>15</v>
      </c>
      <c r="H17" s="15">
        <f>C17/C16-1</f>
        <v>-0.0254237288135593</v>
      </c>
      <c r="I17" s="15">
        <f>(E17+G17-C17)/C17</f>
        <v>-0.843478260869565</v>
      </c>
      <c r="J17" s="15">
        <f>AVERAGE(K14:K17)</f>
        <v>-0.76290153281402</v>
      </c>
      <c r="K17" s="15">
        <f>('Cashflow'!E17+'Cashflow'!D17-'Cashflow'!C17)/'Cashflow'!C17</f>
        <v>-1.82706766917293</v>
      </c>
    </row>
    <row r="18" ht="20.05" customHeight="1">
      <c r="B18" s="32"/>
      <c r="C18" s="33">
        <v>108</v>
      </c>
      <c r="D18" s="23"/>
      <c r="E18" s="34">
        <v>2</v>
      </c>
      <c r="F18" s="34"/>
      <c r="G18" s="34">
        <v>14</v>
      </c>
      <c r="H18" s="15">
        <f>C18/C17-1</f>
        <v>-0.0608695652173913</v>
      </c>
      <c r="I18" s="15">
        <f>(E18+G18-C18)/C18</f>
        <v>-0.851851851851852</v>
      </c>
      <c r="J18" s="15">
        <f>AVERAGE(K15:K18)</f>
        <v>-1.51184633800883</v>
      </c>
      <c r="K18" s="15">
        <f>('Cashflow'!E18+'Cashflow'!D18-'Cashflow'!C18)/'Cashflow'!C18</f>
        <v>-1.35714285714286</v>
      </c>
    </row>
    <row r="19" ht="20.05" customHeight="1">
      <c r="B19" s="32"/>
      <c r="C19" s="33">
        <v>108</v>
      </c>
      <c r="D19" s="23"/>
      <c r="E19" s="34">
        <v>3</v>
      </c>
      <c r="F19" s="34"/>
      <c r="G19" s="34">
        <v>13</v>
      </c>
      <c r="H19" s="15">
        <f>C19/C18-1</f>
        <v>0</v>
      </c>
      <c r="I19" s="15">
        <f>(E19+G19-C19)/C19</f>
        <v>-0.851851851851852</v>
      </c>
      <c r="J19" s="15">
        <f>AVERAGE(K16:K19)</f>
        <v>-1.47879295927325</v>
      </c>
      <c r="K19" s="15">
        <f>('Cashflow'!E19+'Cashflow'!D19-'Cashflow'!C19)/'Cashflow'!C19</f>
        <v>-0.97544080604534</v>
      </c>
    </row>
    <row r="20" ht="20.05" customHeight="1">
      <c r="B20" s="35">
        <v>2019</v>
      </c>
      <c r="C20" s="33">
        <v>114</v>
      </c>
      <c r="D20" s="23"/>
      <c r="E20" s="34">
        <v>2</v>
      </c>
      <c r="F20" s="34"/>
      <c r="G20" s="34">
        <v>17</v>
      </c>
      <c r="H20" s="15">
        <f>C20/C19-1</f>
        <v>0.0555555555555556</v>
      </c>
      <c r="I20" s="15">
        <f>(E20+G20-C20)/C20</f>
        <v>-0.833333333333333</v>
      </c>
      <c r="J20" s="15">
        <f>AVERAGE(K17:K20)</f>
        <v>-1.20717762455488</v>
      </c>
      <c r="K20" s="15">
        <f>('Cashflow'!E20+'Cashflow'!D20-'Cashflow'!C20)/'Cashflow'!C20</f>
        <v>-0.66905916585839</v>
      </c>
    </row>
    <row r="21" ht="20.05" customHeight="1">
      <c r="B21" s="32"/>
      <c r="C21" s="33">
        <v>111</v>
      </c>
      <c r="D21" s="23"/>
      <c r="E21" s="34">
        <v>3</v>
      </c>
      <c r="F21" s="34"/>
      <c r="G21" s="34">
        <v>16</v>
      </c>
      <c r="H21" s="15">
        <f>C21/C20-1</f>
        <v>-0.0263157894736842</v>
      </c>
      <c r="I21" s="15">
        <f>(E21+G21-C21)/C21</f>
        <v>-0.828828828828829</v>
      </c>
      <c r="J21" s="15">
        <f>AVERAGE(K18:K21)</f>
        <v>-1.09940568213602</v>
      </c>
      <c r="K21" s="15">
        <f>('Cashflow'!E21+'Cashflow'!D21-'Cashflow'!C21)/'Cashflow'!C21</f>
        <v>-1.39597989949749</v>
      </c>
    </row>
    <row r="22" ht="20.05" customHeight="1">
      <c r="B22" s="32"/>
      <c r="C22" s="33">
        <v>104</v>
      </c>
      <c r="D22" s="34">
        <v>113.4</v>
      </c>
      <c r="E22" s="34">
        <v>2.2</v>
      </c>
      <c r="F22" s="34"/>
      <c r="G22" s="34">
        <v>16</v>
      </c>
      <c r="H22" s="15">
        <f>C22/C21-1</f>
        <v>-0.0630630630630631</v>
      </c>
      <c r="I22" s="15">
        <f>(E22+G22-C22)/C22</f>
        <v>-0.825</v>
      </c>
      <c r="J22" s="15">
        <f>AVERAGE(K19:K22)</f>
        <v>-1.01349329046707</v>
      </c>
      <c r="K22" s="15"/>
    </row>
    <row r="23" ht="20.05" customHeight="1">
      <c r="B23" s="32"/>
      <c r="C23" s="33">
        <v>114</v>
      </c>
      <c r="D23" s="34">
        <v>118.8</v>
      </c>
      <c r="E23" s="34">
        <v>2.2</v>
      </c>
      <c r="F23" s="34"/>
      <c r="G23" s="34">
        <v>16</v>
      </c>
      <c r="H23" s="15">
        <f>C23/C22-1</f>
        <v>0.0961538461538462</v>
      </c>
      <c r="I23" s="15">
        <f>(E23+G23-C23)/C23</f>
        <v>-0.840350877192982</v>
      </c>
      <c r="J23" s="15">
        <f>AVERAGE(K20:K23)</f>
        <v>-1.03738890565207</v>
      </c>
      <c r="K23" s="15">
        <f>('Cashflow'!E23+'Cashflow'!D23-'Cashflow'!C23)/'Cashflow'!C23</f>
        <v>-1.04712765160033</v>
      </c>
    </row>
    <row r="24" ht="20.05" customHeight="1">
      <c r="B24" s="35">
        <v>2020</v>
      </c>
      <c r="C24" s="33">
        <v>95</v>
      </c>
      <c r="D24" s="34">
        <v>131.1</v>
      </c>
      <c r="E24" s="34">
        <v>5</v>
      </c>
      <c r="F24" s="34"/>
      <c r="G24" s="34">
        <v>1</v>
      </c>
      <c r="H24" s="15">
        <f>C24/C23-1</f>
        <v>-0.166666666666667</v>
      </c>
      <c r="I24" s="15">
        <f>(E24+G24-C24)/C24</f>
        <v>-0.936842105263158</v>
      </c>
      <c r="J24" s="15">
        <f>AVERAGE(K21:K24)</f>
        <v>-0.836213155330479</v>
      </c>
      <c r="K24" s="15">
        <f>('Cashflow'!E24+'Cashflow'!D24-'Cashflow'!C24)/'Cashflow'!C24</f>
        <v>-0.065531914893617</v>
      </c>
    </row>
    <row r="25" ht="20.05" customHeight="1">
      <c r="B25" s="32"/>
      <c r="C25" s="33">
        <v>97.95999999999999</v>
      </c>
      <c r="D25" s="22">
        <v>92.13</v>
      </c>
      <c r="E25" s="34">
        <v>5</v>
      </c>
      <c r="F25" s="34"/>
      <c r="G25" s="34">
        <v>2.6</v>
      </c>
      <c r="H25" s="15">
        <f>C25/C24-1</f>
        <v>0.0311578947368421</v>
      </c>
      <c r="I25" s="15">
        <f>(E25+G25-C25)/C25</f>
        <v>-0.922417313189057</v>
      </c>
      <c r="J25" s="15">
        <f>AVERAGE(K22:K25)</f>
        <v>-0.465964536349046</v>
      </c>
      <c r="K25" s="15">
        <f>('Cashflow'!E25+'Cashflow'!D25-'Cashflow'!C25)/'Cashflow'!C25</f>
        <v>-0.285234042553191</v>
      </c>
    </row>
    <row r="26" ht="20.05" customHeight="1">
      <c r="B26" s="32"/>
      <c r="C26" s="33">
        <f>299.36-SUM(C24:C25)</f>
        <v>106.4</v>
      </c>
      <c r="D26" s="22">
        <v>112.32</v>
      </c>
      <c r="E26" s="34">
        <f>3.59+10.41-SUM(E24:E25)</f>
        <v>4</v>
      </c>
      <c r="F26" s="23"/>
      <c r="G26" s="34">
        <f>13.58-SUM(G24:G25)</f>
        <v>9.98</v>
      </c>
      <c r="H26" s="15">
        <f>C26/C25-1</f>
        <v>0.0861576153532054</v>
      </c>
      <c r="I26" s="15">
        <f>(E26+G26-C26)/C26</f>
        <v>-0.8686090225563911</v>
      </c>
      <c r="J26" s="15">
        <f>AVERAGE(K23:K26)</f>
        <v>-0.614139013136442</v>
      </c>
      <c r="K26" s="15">
        <f>('Cashflow'!E26+'Cashflow'!D26-'Cashflow'!C26)/'Cashflow'!C26</f>
        <v>-1.05866244349863</v>
      </c>
    </row>
    <row r="27" ht="20.05" customHeight="1">
      <c r="B27" s="32"/>
      <c r="C27" s="33">
        <f>424-SUM(C24:C26)</f>
        <v>124.64</v>
      </c>
      <c r="D27" s="22">
        <v>111.72</v>
      </c>
      <c r="E27" s="34">
        <f>19.5-SUM(E24:E26)</f>
        <v>5.5</v>
      </c>
      <c r="F27" s="34">
        <v>17.2</v>
      </c>
      <c r="G27" s="34">
        <f>114.5-SUM(G24:G26)</f>
        <v>100.92</v>
      </c>
      <c r="H27" s="15">
        <f>C27/C26-1</f>
        <v>0.171428571428571</v>
      </c>
      <c r="I27" s="15"/>
      <c r="J27" s="15">
        <f>AVERAGE(K24:K27)</f>
        <v>-0.477331142391899</v>
      </c>
      <c r="K27" s="15">
        <f>('Cashflow'!E27+'Cashflow'!D27-'Cashflow'!C27)/'Cashflow'!C27</f>
        <v>-0.499896168622158</v>
      </c>
    </row>
    <row r="28" ht="20.05" customHeight="1">
      <c r="B28" s="35">
        <v>2021</v>
      </c>
      <c r="C28" s="33">
        <v>127.8</v>
      </c>
      <c r="D28" s="22">
        <v>112.8372</v>
      </c>
      <c r="E28" s="17">
        <v>4.9</v>
      </c>
      <c r="F28" s="17">
        <f>0.5-0.1</f>
        <v>0.4</v>
      </c>
      <c r="G28" s="17">
        <v>19.4</v>
      </c>
      <c r="H28" s="15">
        <f>C28/C27-1</f>
        <v>0.0253530166880616</v>
      </c>
      <c r="I28" s="15">
        <f>(E28+G28-C28)/C28</f>
        <v>-0.8098591549295771</v>
      </c>
      <c r="J28" s="15">
        <f>AVERAGE(K25:K28)</f>
        <v>-0.579217076783791</v>
      </c>
      <c r="K28" s="15">
        <f>('Cashflow'!E28+'Cashflow'!D28-'Cashflow'!C28)/'Cashflow'!C28</f>
        <v>-0.473075652461183</v>
      </c>
    </row>
    <row r="29" ht="20.05" customHeight="1">
      <c r="B29" s="32"/>
      <c r="C29" s="33">
        <f>234.7-C28</f>
        <v>106.9</v>
      </c>
      <c r="D29" s="22">
        <v>134.19</v>
      </c>
      <c r="E29" s="17">
        <f>9.8-E28</f>
        <v>4.9</v>
      </c>
      <c r="F29" s="19">
        <f>-1.3-F28</f>
        <v>-1.7</v>
      </c>
      <c r="G29" s="17">
        <f>32.7-G28</f>
        <v>13.3</v>
      </c>
      <c r="H29" s="15">
        <f>C29/C28-1</f>
        <v>-0.163536776212833</v>
      </c>
      <c r="I29" s="15">
        <f>(E29+G29-C29)/C29</f>
        <v>-0.829747427502339</v>
      </c>
      <c r="J29" s="15">
        <f>AVERAGE(K26:K29)</f>
        <v>-0.640900369424181</v>
      </c>
      <c r="K29" s="15">
        <f>('Cashflow'!E29+'Cashflow'!D29-'Cashflow'!C29)/'Cashflow'!C29</f>
        <v>-0.531967213114754</v>
      </c>
    </row>
    <row r="30" ht="20.05" customHeight="1">
      <c r="B30" s="32"/>
      <c r="C30" s="33">
        <f>348-SUM(C28:C29)</f>
        <v>113.3</v>
      </c>
      <c r="D30" s="22">
        <v>110.107</v>
      </c>
      <c r="E30" s="17">
        <f>15-SUM(E28:E29)</f>
        <v>5.2</v>
      </c>
      <c r="F30" s="19">
        <f>8.8-SUM(F28:F29)</f>
        <v>10.1</v>
      </c>
      <c r="G30" s="17">
        <f>46.5-SUM(G28:G29)</f>
        <v>13.8</v>
      </c>
      <c r="H30" s="15">
        <f>C30/C29-1</f>
        <v>0.0598690364826941</v>
      </c>
      <c r="I30" s="15">
        <f>(E30+G30-C30)/C30</f>
        <v>-0.832303618711386</v>
      </c>
      <c r="J30" s="15">
        <f>AVERAGE(K27:K30)</f>
        <v>-0.538242091271797</v>
      </c>
      <c r="K30" s="15">
        <f>('Cashflow'!E30+'Cashflow'!D30-'Cashflow'!C30)/'Cashflow'!C30</f>
        <v>-0.648029330889093</v>
      </c>
    </row>
    <row r="31" ht="20.05" customHeight="1">
      <c r="B31" s="32"/>
      <c r="C31" s="33"/>
      <c r="D31" s="22">
        <f>'Model'!C6</f>
        <v>124.63</v>
      </c>
      <c r="E31" s="23"/>
      <c r="F31" s="23"/>
      <c r="G31" s="23"/>
      <c r="H31" s="11"/>
      <c r="I31" s="11">
        <f>'Model'!C7</f>
        <v>-0.8098591549295771</v>
      </c>
      <c r="J31" s="11"/>
      <c r="K31" s="15"/>
    </row>
    <row r="32" ht="20.05" customHeight="1">
      <c r="B32" s="35">
        <v>2022</v>
      </c>
      <c r="C32" s="33"/>
      <c r="D32" s="22">
        <f>'Model'!D6</f>
        <v>123.3837</v>
      </c>
      <c r="E32" s="23"/>
      <c r="F32" s="23"/>
      <c r="G32" s="23"/>
      <c r="H32" s="11"/>
      <c r="I32" s="11"/>
      <c r="J32" s="11"/>
      <c r="K32" s="11"/>
    </row>
    <row r="33" ht="20.05" customHeight="1">
      <c r="B33" s="32"/>
      <c r="C33" s="33"/>
      <c r="D33" s="22">
        <f>'Model'!E6</f>
        <v>125.851374</v>
      </c>
      <c r="E33" s="23"/>
      <c r="F33" s="23"/>
      <c r="G33" s="23"/>
      <c r="H33" s="11"/>
      <c r="I33" s="11"/>
      <c r="J33" s="11"/>
      <c r="K33" s="11"/>
    </row>
    <row r="34" ht="20.05" customHeight="1">
      <c r="B34" s="32"/>
      <c r="C34" s="33"/>
      <c r="D34" s="22">
        <f>'Model'!F6</f>
        <v>132.1439427</v>
      </c>
      <c r="E34" s="23"/>
      <c r="F34" s="23"/>
      <c r="G34" s="23"/>
      <c r="H34" s="11"/>
      <c r="I34" s="11"/>
      <c r="J34" s="11"/>
      <c r="K34" s="11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29688" style="36" customWidth="1"/>
    <col min="2" max="2" width="7.75" style="36" customWidth="1"/>
    <col min="3" max="11" width="9.69531" style="36" customWidth="1"/>
    <col min="12" max="16384" width="16.3516" style="36" customWidth="1"/>
  </cols>
  <sheetData>
    <row r="1" ht="19.2" customHeight="1"/>
    <row r="2" ht="27.65" customHeight="1">
      <c r="B2" t="s" s="2">
        <v>47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26">
        <v>1</v>
      </c>
      <c r="C3" t="s" s="26">
        <v>48</v>
      </c>
      <c r="D3" t="s" s="26">
        <v>49</v>
      </c>
      <c r="E3" t="s" s="26">
        <v>50</v>
      </c>
      <c r="F3" t="s" s="26">
        <v>51</v>
      </c>
      <c r="G3" t="s" s="26">
        <v>10</v>
      </c>
      <c r="H3" t="s" s="26">
        <v>52</v>
      </c>
      <c r="I3" t="s" s="26">
        <v>53</v>
      </c>
      <c r="J3" t="s" s="26">
        <v>3</v>
      </c>
      <c r="K3" t="s" s="26">
        <v>54</v>
      </c>
    </row>
    <row r="4" ht="20.25" customHeight="1">
      <c r="B4" s="27">
        <v>2015</v>
      </c>
      <c r="C4" s="37">
        <v>154.6</v>
      </c>
      <c r="D4" s="38">
        <v>0</v>
      </c>
      <c r="E4" s="38">
        <v>-55</v>
      </c>
      <c r="F4" s="38">
        <v>-0.7</v>
      </c>
      <c r="G4" s="38">
        <v>74</v>
      </c>
      <c r="H4" s="39"/>
      <c r="I4" s="38">
        <f>D4+E4+F4</f>
        <v>-55.7</v>
      </c>
      <c r="J4" s="39"/>
      <c r="K4" s="38">
        <f>-G4</f>
        <v>-74</v>
      </c>
    </row>
    <row r="5" ht="20.05" customHeight="1">
      <c r="B5" s="32"/>
      <c r="C5" s="16">
        <v>299.4</v>
      </c>
      <c r="D5" s="17">
        <v>0</v>
      </c>
      <c r="E5" s="17">
        <v>81</v>
      </c>
      <c r="F5" s="17">
        <v>2.7</v>
      </c>
      <c r="G5" s="17">
        <v>-86</v>
      </c>
      <c r="H5" s="22"/>
      <c r="I5" s="17">
        <f>D5+E5+F5</f>
        <v>83.7</v>
      </c>
      <c r="J5" s="22"/>
      <c r="K5" s="17">
        <f>-G5+K4</f>
        <v>12</v>
      </c>
    </row>
    <row r="6" ht="20.05" customHeight="1">
      <c r="B6" s="32"/>
      <c r="C6" s="16">
        <v>-64</v>
      </c>
      <c r="D6" s="17">
        <v>0</v>
      </c>
      <c r="E6" s="17">
        <v>-56</v>
      </c>
      <c r="F6" s="17">
        <v>0</v>
      </c>
      <c r="G6" s="17">
        <v>14</v>
      </c>
      <c r="H6" s="22"/>
      <c r="I6" s="17">
        <f>D6+E6+F6</f>
        <v>-56</v>
      </c>
      <c r="J6" s="22"/>
      <c r="K6" s="17">
        <f>-G6+K5</f>
        <v>-2</v>
      </c>
    </row>
    <row r="7" ht="20.05" customHeight="1">
      <c r="B7" s="32"/>
      <c r="C7" s="16">
        <v>19</v>
      </c>
      <c r="D7" s="17">
        <v>0</v>
      </c>
      <c r="E7" s="17">
        <v>-121</v>
      </c>
      <c r="F7" s="17">
        <v>-21</v>
      </c>
      <c r="G7" s="17">
        <v>169</v>
      </c>
      <c r="H7" s="22"/>
      <c r="I7" s="17">
        <f>D7+E7+F7</f>
        <v>-142</v>
      </c>
      <c r="J7" s="22"/>
      <c r="K7" s="17">
        <f>-G7+K6</f>
        <v>-171</v>
      </c>
    </row>
    <row r="8" ht="20.05" customHeight="1">
      <c r="B8" s="35">
        <v>2016</v>
      </c>
      <c r="C8" s="16">
        <v>428</v>
      </c>
      <c r="D8" s="17">
        <v>-10.5</v>
      </c>
      <c r="E8" s="17">
        <v>57</v>
      </c>
      <c r="F8" s="17">
        <v>1</v>
      </c>
      <c r="G8" s="17">
        <v>-63</v>
      </c>
      <c r="H8" s="22"/>
      <c r="I8" s="17">
        <f>D8+E8+F8</f>
        <v>47.5</v>
      </c>
      <c r="J8" s="17">
        <f>AVERAGE(I5:I8)</f>
        <v>-16.7</v>
      </c>
      <c r="K8" s="17">
        <f>-G8+K7</f>
        <v>-108</v>
      </c>
    </row>
    <row r="9" ht="20.05" customHeight="1">
      <c r="B9" s="32"/>
      <c r="C9" s="16">
        <v>40</v>
      </c>
      <c r="D9" s="17">
        <v>-10.6</v>
      </c>
      <c r="E9" s="17">
        <v>80</v>
      </c>
      <c r="F9" s="17">
        <v>1</v>
      </c>
      <c r="G9" s="17">
        <v>61</v>
      </c>
      <c r="H9" s="22"/>
      <c r="I9" s="17">
        <f>D9+E9+F9</f>
        <v>70.40000000000001</v>
      </c>
      <c r="J9" s="17">
        <f>AVERAGE(I6:I9)</f>
        <v>-20.025</v>
      </c>
      <c r="K9" s="17">
        <f>-G9+K8</f>
        <v>-169</v>
      </c>
    </row>
    <row r="10" ht="20.05" customHeight="1">
      <c r="B10" s="32"/>
      <c r="C10" s="16">
        <v>-315</v>
      </c>
      <c r="D10" s="17">
        <v>-11.3</v>
      </c>
      <c r="E10" s="17">
        <v>-37</v>
      </c>
      <c r="F10" s="17">
        <v>5</v>
      </c>
      <c r="G10" s="17">
        <v>-137</v>
      </c>
      <c r="H10" s="22"/>
      <c r="I10" s="17">
        <f>D10+E10+F10</f>
        <v>-43.3</v>
      </c>
      <c r="J10" s="17">
        <f>AVERAGE(I7:I10)</f>
        <v>-16.85</v>
      </c>
      <c r="K10" s="17">
        <f>-G10+K9</f>
        <v>-32</v>
      </c>
    </row>
    <row r="11" ht="20.05" customHeight="1">
      <c r="B11" s="32"/>
      <c r="C11" s="16">
        <v>1183</v>
      </c>
      <c r="D11" s="17">
        <v>-11.4</v>
      </c>
      <c r="E11" s="17">
        <v>96</v>
      </c>
      <c r="F11" s="17">
        <v>-14</v>
      </c>
      <c r="G11" s="17">
        <v>70</v>
      </c>
      <c r="H11" s="22"/>
      <c r="I11" s="17">
        <f>D11+E11+F11</f>
        <v>70.59999999999999</v>
      </c>
      <c r="J11" s="17">
        <f>AVERAGE(I8:I11)</f>
        <v>36.3</v>
      </c>
      <c r="K11" s="17">
        <f>-G11+K10</f>
        <v>-102</v>
      </c>
    </row>
    <row r="12" ht="20.05" customHeight="1">
      <c r="B12" s="35">
        <v>2017</v>
      </c>
      <c r="C12" s="16">
        <v>-116</v>
      </c>
      <c r="D12" s="17">
        <v>-9</v>
      </c>
      <c r="E12" s="17">
        <v>136</v>
      </c>
      <c r="F12" s="17">
        <v>2</v>
      </c>
      <c r="G12" s="17">
        <v>83</v>
      </c>
      <c r="H12" s="22"/>
      <c r="I12" s="17">
        <f>D12+E12+F12</f>
        <v>129</v>
      </c>
      <c r="J12" s="17">
        <f>AVERAGE(I9:I12)</f>
        <v>56.675</v>
      </c>
      <c r="K12" s="17">
        <f>-G12+K11</f>
        <v>-185</v>
      </c>
    </row>
    <row r="13" ht="20.05" customHeight="1">
      <c r="B13" s="32"/>
      <c r="C13" s="16">
        <v>469</v>
      </c>
      <c r="D13" s="17">
        <v>-8.800000000000001</v>
      </c>
      <c r="E13" s="17">
        <v>-39</v>
      </c>
      <c r="F13" s="17">
        <v>0</v>
      </c>
      <c r="G13" s="17">
        <v>-138</v>
      </c>
      <c r="H13" s="22"/>
      <c r="I13" s="17">
        <f>D13+E13+F13</f>
        <v>-47.8</v>
      </c>
      <c r="J13" s="17">
        <f>AVERAGE(I10:I13)</f>
        <v>27.125</v>
      </c>
      <c r="K13" s="17">
        <f>-G13+K12</f>
        <v>-47</v>
      </c>
    </row>
    <row r="14" ht="20.05" customHeight="1">
      <c r="B14" s="32"/>
      <c r="C14" s="16">
        <v>-44</v>
      </c>
      <c r="D14" s="17">
        <v>-12.1</v>
      </c>
      <c r="E14" s="17">
        <v>-104</v>
      </c>
      <c r="F14" s="17">
        <v>5</v>
      </c>
      <c r="G14" s="17">
        <v>50</v>
      </c>
      <c r="H14" s="22"/>
      <c r="I14" s="17">
        <f>D14+E14+F14</f>
        <v>-111.1</v>
      </c>
      <c r="J14" s="17">
        <f>AVERAGE(I11:I14)</f>
        <v>10.175</v>
      </c>
      <c r="K14" s="17">
        <f>-G14+K13</f>
        <v>-97</v>
      </c>
    </row>
    <row r="15" ht="20.05" customHeight="1">
      <c r="B15" s="32"/>
      <c r="C15" s="16">
        <v>405</v>
      </c>
      <c r="D15" s="17">
        <v>-13.6</v>
      </c>
      <c r="E15" s="17">
        <v>-30</v>
      </c>
      <c r="F15" s="17">
        <v>4</v>
      </c>
      <c r="G15" s="17">
        <v>159</v>
      </c>
      <c r="H15" s="22"/>
      <c r="I15" s="17">
        <f>D15+E15+F15</f>
        <v>-39.6</v>
      </c>
      <c r="J15" s="17">
        <f>AVERAGE(I12:I15)</f>
        <v>-17.375</v>
      </c>
      <c r="K15" s="17">
        <f>-G15+K14</f>
        <v>-256</v>
      </c>
    </row>
    <row r="16" ht="20.05" customHeight="1">
      <c r="B16" s="35">
        <v>2018</v>
      </c>
      <c r="C16" s="16">
        <v>126.8</v>
      </c>
      <c r="D16" s="17">
        <v>-12.8</v>
      </c>
      <c r="E16" s="17">
        <v>-83</v>
      </c>
      <c r="F16" s="17">
        <v>3</v>
      </c>
      <c r="G16" s="17">
        <v>-5</v>
      </c>
      <c r="H16" s="22"/>
      <c r="I16" s="17">
        <f>D16+E16+F16</f>
        <v>-92.8</v>
      </c>
      <c r="J16" s="17">
        <f>AVERAGE(I13:I16)</f>
        <v>-72.825</v>
      </c>
      <c r="K16" s="17">
        <f>-G16+K15</f>
        <v>-251</v>
      </c>
    </row>
    <row r="17" ht="20.05" customHeight="1">
      <c r="B17" s="32"/>
      <c r="C17" s="16">
        <v>186.2</v>
      </c>
      <c r="D17" s="17">
        <v>-43</v>
      </c>
      <c r="E17" s="17">
        <v>-111</v>
      </c>
      <c r="F17" s="17">
        <v>3</v>
      </c>
      <c r="G17" s="17">
        <v>143</v>
      </c>
      <c r="H17" s="22"/>
      <c r="I17" s="17">
        <f>D17+E17+F17</f>
        <v>-151</v>
      </c>
      <c r="J17" s="17">
        <f>AVERAGE(I14:I17)</f>
        <v>-98.625</v>
      </c>
      <c r="K17" s="17">
        <f>-G17+K16</f>
        <v>-394</v>
      </c>
    </row>
    <row r="18" ht="20.05" customHeight="1">
      <c r="B18" s="32"/>
      <c r="C18" s="16">
        <v>49</v>
      </c>
      <c r="D18" s="17">
        <v>16.5</v>
      </c>
      <c r="E18" s="17">
        <v>-34</v>
      </c>
      <c r="F18" s="17">
        <v>3</v>
      </c>
      <c r="G18" s="17">
        <v>-69</v>
      </c>
      <c r="H18" s="22"/>
      <c r="I18" s="17">
        <f>D18+E18+F18</f>
        <v>-14.5</v>
      </c>
      <c r="J18" s="17">
        <f>AVERAGE(I15:I18)</f>
        <v>-74.47499999999999</v>
      </c>
      <c r="K18" s="17">
        <f>-G18+K17</f>
        <v>-325</v>
      </c>
    </row>
    <row r="19" ht="20.05" customHeight="1">
      <c r="B19" s="32"/>
      <c r="C19" s="16">
        <v>794</v>
      </c>
      <c r="D19" s="17">
        <v>29.5</v>
      </c>
      <c r="E19" s="17">
        <v>-10</v>
      </c>
      <c r="F19" s="17">
        <v>3</v>
      </c>
      <c r="G19" s="17">
        <v>5</v>
      </c>
      <c r="H19" s="22"/>
      <c r="I19" s="17">
        <f>D19+E19+F19</f>
        <v>22.5</v>
      </c>
      <c r="J19" s="17">
        <f>AVERAGE(I16:I19)</f>
        <v>-58.95</v>
      </c>
      <c r="K19" s="17">
        <f>-G19+K18</f>
        <v>-330</v>
      </c>
    </row>
    <row r="20" ht="20.05" customHeight="1">
      <c r="B20" s="35">
        <v>2019</v>
      </c>
      <c r="C20" s="16">
        <v>1031</v>
      </c>
      <c r="D20" s="17">
        <v>-9.800000000000001</v>
      </c>
      <c r="E20" s="17">
        <v>351</v>
      </c>
      <c r="F20" s="17">
        <v>4</v>
      </c>
      <c r="G20" s="17">
        <v>-299</v>
      </c>
      <c r="H20" s="22"/>
      <c r="I20" s="17">
        <f>D20+E20+F20</f>
        <v>345.2</v>
      </c>
      <c r="J20" s="17">
        <f>AVERAGE(I17:I20)</f>
        <v>50.55</v>
      </c>
      <c r="K20" s="17">
        <f>-G20+K19</f>
        <v>-31</v>
      </c>
    </row>
    <row r="21" ht="20.05" customHeight="1">
      <c r="B21" s="32"/>
      <c r="C21" s="16">
        <v>199</v>
      </c>
      <c r="D21" s="17">
        <v>-14.8</v>
      </c>
      <c r="E21" s="17">
        <v>-64</v>
      </c>
      <c r="F21" s="17">
        <v>6</v>
      </c>
      <c r="G21" s="17">
        <v>175</v>
      </c>
      <c r="H21" s="22"/>
      <c r="I21" s="17">
        <f>D21+E21+F21</f>
        <v>-72.8</v>
      </c>
      <c r="J21" s="17">
        <f>AVERAGE(I18:I21)</f>
        <v>70.09999999999999</v>
      </c>
      <c r="K21" s="17">
        <f>-G21+K20</f>
        <v>-206</v>
      </c>
    </row>
    <row r="22" ht="20.05" customHeight="1">
      <c r="B22" s="32"/>
      <c r="C22" s="16">
        <v>-3</v>
      </c>
      <c r="D22" s="17">
        <v>-14.8</v>
      </c>
      <c r="E22" s="17">
        <v>-184</v>
      </c>
      <c r="F22" s="17">
        <v>5</v>
      </c>
      <c r="G22" s="17">
        <v>89</v>
      </c>
      <c r="H22" s="22"/>
      <c r="I22" s="17">
        <f>D22+E22+F22</f>
        <v>-193.8</v>
      </c>
      <c r="J22" s="17">
        <f>AVERAGE(I19:I22)</f>
        <v>25.275</v>
      </c>
      <c r="K22" s="17">
        <f>-G22+K21</f>
        <v>-295</v>
      </c>
    </row>
    <row r="23" ht="20.05" customHeight="1">
      <c r="B23" s="32"/>
      <c r="C23" s="16">
        <v>-1334.1</v>
      </c>
      <c r="D23" s="17">
        <v>-17.2</v>
      </c>
      <c r="E23" s="17">
        <v>80.07299999999999</v>
      </c>
      <c r="F23" s="17">
        <v>3.412</v>
      </c>
      <c r="G23" s="17">
        <v>-66.40000000000001</v>
      </c>
      <c r="H23" s="22"/>
      <c r="I23" s="17">
        <f>D23+E23+F23</f>
        <v>66.285</v>
      </c>
      <c r="J23" s="17">
        <f>AVERAGE(I20:I23)</f>
        <v>36.22125</v>
      </c>
      <c r="K23" s="17">
        <f>-G23+K22</f>
        <v>-228.6</v>
      </c>
    </row>
    <row r="24" ht="20.05" customHeight="1">
      <c r="B24" s="35">
        <v>2020</v>
      </c>
      <c r="C24" s="16">
        <v>235</v>
      </c>
      <c r="D24" s="17">
        <v>-12.4</v>
      </c>
      <c r="E24" s="17">
        <v>232</v>
      </c>
      <c r="F24" s="17">
        <v>12</v>
      </c>
      <c r="G24" s="17">
        <v>-105</v>
      </c>
      <c r="H24" s="22"/>
      <c r="I24" s="17">
        <f>D24+E24+F24</f>
        <v>231.6</v>
      </c>
      <c r="J24" s="17">
        <f>AVERAGE(I21:I24)</f>
        <v>7.82125</v>
      </c>
      <c r="K24" s="17">
        <f>-G24+K23</f>
        <v>-123.6</v>
      </c>
    </row>
    <row r="25" ht="20.05" customHeight="1">
      <c r="B25" s="32"/>
      <c r="C25" s="16">
        <v>-235</v>
      </c>
      <c r="D25" s="17">
        <v>12.4</v>
      </c>
      <c r="E25" s="17">
        <v>-180.37</v>
      </c>
      <c r="F25" s="17">
        <v>-7.42</v>
      </c>
      <c r="G25" s="17">
        <v>61.54</v>
      </c>
      <c r="H25" s="22"/>
      <c r="I25" s="17">
        <f>D25+E25+F25</f>
        <v>-175.39</v>
      </c>
      <c r="J25" s="17">
        <f>AVERAGE(I22:I25)</f>
        <v>-17.82625</v>
      </c>
      <c r="K25" s="17">
        <f>-G25+K24</f>
        <v>-185.14</v>
      </c>
    </row>
    <row r="26" ht="20.05" customHeight="1">
      <c r="B26" s="32"/>
      <c r="C26" s="16">
        <f>215.15+121.58+93.16+50.79+125.5-SUM(C24,C25)</f>
        <v>606.1799999999999</v>
      </c>
      <c r="D26" s="17">
        <f>-40.31-SUM(D24:D25)</f>
        <v>-40.31</v>
      </c>
      <c r="E26" s="17">
        <f>56.38-SUM(E24,E25)</f>
        <v>4.75</v>
      </c>
      <c r="F26" s="17">
        <f>8.51-SUM(F24:F25)</f>
        <v>3.93</v>
      </c>
      <c r="G26" s="17">
        <f>-118.41-SUM(G23:G24)</f>
        <v>52.99</v>
      </c>
      <c r="H26" s="22"/>
      <c r="I26" s="17">
        <f>D26+E26+F26</f>
        <v>-31.63</v>
      </c>
      <c r="J26" s="17">
        <f>AVERAGE(I23:I26)</f>
        <v>22.71625</v>
      </c>
      <c r="K26" s="17">
        <f>-G26+K25</f>
        <v>-238.13</v>
      </c>
    </row>
    <row r="27" ht="20.05" customHeight="1">
      <c r="B27" s="32"/>
      <c r="C27" s="16">
        <f>253.7+161.6+122.6+85.6+113.4+61.9-SUM(C24:C26)</f>
        <v>192.62</v>
      </c>
      <c r="D27" s="17">
        <f>-55.1-SUM(D24:D26)</f>
        <v>-14.79</v>
      </c>
      <c r="E27" s="17">
        <f>167.5-SUM(E24:E26)</f>
        <v>111.12</v>
      </c>
      <c r="F27" s="17">
        <f>12.8-SUM(F24:F26)</f>
        <v>4.29</v>
      </c>
      <c r="G27" s="17">
        <f>-107.1-SUM(G24:G26)</f>
        <v>-116.63</v>
      </c>
      <c r="H27" s="22"/>
      <c r="I27" s="17">
        <f>D27+E27+F27</f>
        <v>100.62</v>
      </c>
      <c r="J27" s="17">
        <f>AVERAGE(I24:I27)</f>
        <v>31.3</v>
      </c>
      <c r="K27" s="17">
        <f>-G27+K26</f>
        <v>-121.5</v>
      </c>
    </row>
    <row r="28" ht="20.05" customHeight="1">
      <c r="B28" s="35">
        <v>2021</v>
      </c>
      <c r="C28" s="16">
        <f>195.3+37.7+35+34.7</f>
        <v>302.7</v>
      </c>
      <c r="D28" s="17">
        <v>-11.3</v>
      </c>
      <c r="E28" s="17">
        <v>170.8</v>
      </c>
      <c r="F28" s="17">
        <v>2</v>
      </c>
      <c r="G28" s="17">
        <v>-65.2</v>
      </c>
      <c r="H28" s="17">
        <v>-2.4</v>
      </c>
      <c r="I28" s="17">
        <f>D28+E28+H28+F28</f>
        <v>159.1</v>
      </c>
      <c r="J28" s="17">
        <f>AVERAGE(I25:I28)</f>
        <v>13.175</v>
      </c>
      <c r="K28" s="17">
        <f>-G28+K27</f>
        <v>-56.3</v>
      </c>
    </row>
    <row r="29" ht="20.05" customHeight="1">
      <c r="B29" s="32"/>
      <c r="C29" s="16">
        <f>219.3+60.1+59.1+86.2-C28</f>
        <v>122</v>
      </c>
      <c r="D29" s="17">
        <f>-25.2-D28</f>
        <v>-13.9</v>
      </c>
      <c r="E29" s="17">
        <f>241.8-E28</f>
        <v>71</v>
      </c>
      <c r="F29" s="17">
        <f>5.4-F28</f>
        <v>3.4</v>
      </c>
      <c r="G29" s="17">
        <f>-157.2-G28</f>
        <v>-92</v>
      </c>
      <c r="H29" s="17">
        <f>-4.7-H28</f>
        <v>-2.3</v>
      </c>
      <c r="I29" s="17">
        <f>D29+E29+H29+F29</f>
        <v>58.2</v>
      </c>
      <c r="J29" s="17">
        <f>AVERAGE(I26:I29)</f>
        <v>71.57250000000001</v>
      </c>
      <c r="K29" s="17">
        <f>-G29+K28</f>
        <v>35.7</v>
      </c>
    </row>
    <row r="30" ht="20.05" customHeight="1">
      <c r="B30" s="32"/>
      <c r="C30" s="16">
        <f>225.8+132.1+96.9+79-SUM(C28:C29)</f>
        <v>109.1</v>
      </c>
      <c r="D30" s="17">
        <f>-38.7-SUM(D28:D29)</f>
        <v>-13.5</v>
      </c>
      <c r="E30" s="17">
        <f>293.7-SUM(E28:E29)</f>
        <v>51.9</v>
      </c>
      <c r="F30" s="17">
        <f>5-SUM(F28:F29)</f>
        <v>-0.4</v>
      </c>
      <c r="G30" s="17">
        <f>-199.7-SUM(G28:G29)</f>
        <v>-42.5</v>
      </c>
      <c r="H30" s="17">
        <f>-6.5-SUM(H28:H29)</f>
        <v>-1.8</v>
      </c>
      <c r="I30" s="17">
        <f>D30+E30+H30+F30</f>
        <v>36.2</v>
      </c>
      <c r="J30" s="17">
        <f>AVERAGE(I27:I30)</f>
        <v>88.53</v>
      </c>
      <c r="K30" s="17">
        <f>-G30+K29</f>
        <v>78.2</v>
      </c>
    </row>
    <row r="31" ht="20.05" customHeight="1">
      <c r="B31" s="32"/>
      <c r="C31" s="16"/>
      <c r="D31" s="17"/>
      <c r="E31" s="17"/>
      <c r="F31" s="17"/>
      <c r="G31" s="17"/>
      <c r="H31" s="17"/>
      <c r="I31" s="17"/>
      <c r="J31" s="19">
        <f>SUM('Model'!F9:F10)</f>
        <v>24.725960935916</v>
      </c>
      <c r="K31" s="17">
        <f>'Model'!F32</f>
        <v>172.812982048593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J3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0.8828" style="40" customWidth="1"/>
    <col min="11" max="16384" width="16.3516" style="40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</row>
    <row r="2" ht="32.25" customHeight="1">
      <c r="A2" t="s" s="26">
        <v>1</v>
      </c>
      <c r="B2" t="s" s="26">
        <v>55</v>
      </c>
      <c r="C2" t="s" s="26">
        <v>56</v>
      </c>
      <c r="D2" t="s" s="26">
        <v>57</v>
      </c>
      <c r="E2" t="s" s="26">
        <v>23</v>
      </c>
      <c r="F2" t="s" s="26">
        <v>11</v>
      </c>
      <c r="G2" t="s" s="26">
        <v>25</v>
      </c>
      <c r="H2" t="s" s="26">
        <v>26</v>
      </c>
      <c r="I2" t="s" s="26">
        <v>58</v>
      </c>
      <c r="J2" t="s" s="26">
        <v>34</v>
      </c>
    </row>
    <row r="3" ht="21.1" customHeight="1">
      <c r="A3" s="27">
        <v>2015</v>
      </c>
      <c r="B3" s="37">
        <v>170</v>
      </c>
      <c r="C3" s="38">
        <v>1532</v>
      </c>
      <c r="D3" s="38">
        <f>C3-B3</f>
        <v>1362</v>
      </c>
      <c r="E3" s="38">
        <v>59</v>
      </c>
      <c r="F3" s="38">
        <v>976</v>
      </c>
      <c r="G3" s="38">
        <v>556</v>
      </c>
      <c r="H3" s="38">
        <f>F3+G3-B3-D3</f>
        <v>0</v>
      </c>
      <c r="I3" s="38">
        <f>B3-F3</f>
        <v>-806</v>
      </c>
      <c r="J3" s="38"/>
    </row>
    <row r="4" ht="21.1" customHeight="1">
      <c r="A4" s="32"/>
      <c r="B4" s="16">
        <v>165</v>
      </c>
      <c r="C4" s="17">
        <v>1402</v>
      </c>
      <c r="D4" s="17">
        <f>C4-B4</f>
        <v>1237</v>
      </c>
      <c r="E4" s="17">
        <v>61</v>
      </c>
      <c r="F4" s="17">
        <v>838</v>
      </c>
      <c r="G4" s="17">
        <v>564</v>
      </c>
      <c r="H4" s="17">
        <f>F4+G4-B4-D4</f>
        <v>0</v>
      </c>
      <c r="I4" s="17">
        <f>B4-F4</f>
        <v>-673</v>
      </c>
      <c r="J4" s="17"/>
    </row>
    <row r="5" ht="21.1" customHeight="1">
      <c r="A5" s="32"/>
      <c r="B5" s="16">
        <v>123</v>
      </c>
      <c r="C5" s="17">
        <v>1013</v>
      </c>
      <c r="D5" s="17">
        <f>C5-B5</f>
        <v>890</v>
      </c>
      <c r="E5" s="17">
        <v>62</v>
      </c>
      <c r="F5" s="17">
        <v>447</v>
      </c>
      <c r="G5" s="17">
        <v>566</v>
      </c>
      <c r="H5" s="17">
        <f>F5+G5-B5-D5</f>
        <v>0</v>
      </c>
      <c r="I5" s="17">
        <f>B5-F5</f>
        <v>-324</v>
      </c>
      <c r="J5" s="17"/>
    </row>
    <row r="6" ht="21.1" customHeight="1">
      <c r="A6" s="32"/>
      <c r="B6" s="16">
        <v>151</v>
      </c>
      <c r="C6" s="17">
        <v>1292</v>
      </c>
      <c r="D6" s="17">
        <f>C6-B6</f>
        <v>1141</v>
      </c>
      <c r="E6" s="17">
        <v>64</v>
      </c>
      <c r="F6" s="17">
        <v>699</v>
      </c>
      <c r="G6" s="17">
        <v>593</v>
      </c>
      <c r="H6" s="17">
        <f>F6+G6-B6-D6</f>
        <v>0</v>
      </c>
      <c r="I6" s="17">
        <f>B6-F6</f>
        <v>-548</v>
      </c>
      <c r="J6" s="17"/>
    </row>
    <row r="7" ht="21.1" customHeight="1">
      <c r="A7" s="35">
        <v>2016</v>
      </c>
      <c r="B7" s="16">
        <v>147</v>
      </c>
      <c r="C7" s="17">
        <v>1239</v>
      </c>
      <c r="D7" s="17">
        <f>C7-B7</f>
        <v>1092</v>
      </c>
      <c r="E7" s="17">
        <v>66</v>
      </c>
      <c r="F7" s="17">
        <v>634</v>
      </c>
      <c r="G7" s="17">
        <v>605</v>
      </c>
      <c r="H7" s="17">
        <f>F7+G7-B7-D7</f>
        <v>0</v>
      </c>
      <c r="I7" s="17">
        <f>B7-F7</f>
        <v>-487</v>
      </c>
      <c r="J7" s="17"/>
    </row>
    <row r="8" ht="20.9" customHeight="1">
      <c r="A8" s="32"/>
      <c r="B8" s="16">
        <v>289</v>
      </c>
      <c r="C8" s="17">
        <v>1529</v>
      </c>
      <c r="D8" s="17">
        <f>C8-B8</f>
        <v>1240</v>
      </c>
      <c r="E8" s="17">
        <v>68</v>
      </c>
      <c r="F8" s="17">
        <v>913</v>
      </c>
      <c r="G8" s="17">
        <v>616</v>
      </c>
      <c r="H8" s="17">
        <f>F8+G8-B8-D8</f>
        <v>0</v>
      </c>
      <c r="I8" s="17">
        <f>B8-F8</f>
        <v>-624</v>
      </c>
      <c r="J8" s="17"/>
    </row>
    <row r="9" ht="20.9" customHeight="1">
      <c r="A9" s="32"/>
      <c r="B9" s="16">
        <v>119</v>
      </c>
      <c r="C9" s="17">
        <v>1479</v>
      </c>
      <c r="D9" s="17">
        <f>C9-B9</f>
        <v>1360</v>
      </c>
      <c r="E9" s="17">
        <v>70</v>
      </c>
      <c r="F9" s="17">
        <v>850</v>
      </c>
      <c r="G9" s="17">
        <v>628</v>
      </c>
      <c r="H9" s="17">
        <f>F9+G9-B9-D9</f>
        <v>-1</v>
      </c>
      <c r="I9" s="17">
        <f>B9-F9</f>
        <v>-731</v>
      </c>
      <c r="J9" s="17"/>
    </row>
    <row r="10" ht="20.9" customHeight="1">
      <c r="A10" s="32"/>
      <c r="B10" s="16">
        <v>271</v>
      </c>
      <c r="C10" s="17">
        <v>1570</v>
      </c>
      <c r="D10" s="17">
        <f>C10-B10</f>
        <v>1299</v>
      </c>
      <c r="E10" s="17">
        <v>71</v>
      </c>
      <c r="F10" s="17">
        <v>930</v>
      </c>
      <c r="G10" s="17">
        <v>640</v>
      </c>
      <c r="H10" s="17">
        <f>F10+G10-B10-D10</f>
        <v>0</v>
      </c>
      <c r="I10" s="17">
        <f>B10-F10</f>
        <v>-659</v>
      </c>
      <c r="J10" s="17"/>
    </row>
    <row r="11" ht="20.9" customHeight="1">
      <c r="A11" s="35">
        <v>2017</v>
      </c>
      <c r="B11" s="16">
        <v>492</v>
      </c>
      <c r="C11" s="17">
        <v>1536</v>
      </c>
      <c r="D11" s="17">
        <f>C11-B11</f>
        <v>1044</v>
      </c>
      <c r="E11" s="17">
        <v>72</v>
      </c>
      <c r="F11" s="17">
        <v>883</v>
      </c>
      <c r="G11" s="17">
        <v>653</v>
      </c>
      <c r="H11" s="17">
        <f>F11+G11-B11-D11</f>
        <v>0</v>
      </c>
      <c r="I11" s="17">
        <f>B11-F11</f>
        <v>-391</v>
      </c>
      <c r="J11" s="17"/>
    </row>
    <row r="12" ht="20.9" customHeight="1">
      <c r="A12" s="32"/>
      <c r="B12" s="16">
        <v>315</v>
      </c>
      <c r="C12" s="17">
        <v>1387</v>
      </c>
      <c r="D12" s="17">
        <f>C12-B12</f>
        <v>1072</v>
      </c>
      <c r="E12" s="17">
        <v>73</v>
      </c>
      <c r="F12" s="17">
        <v>722</v>
      </c>
      <c r="G12" s="17">
        <v>665</v>
      </c>
      <c r="H12" s="17">
        <f>F12+G12-B12-D12</f>
        <v>0</v>
      </c>
      <c r="I12" s="17">
        <f>B12-F12</f>
        <v>-407</v>
      </c>
      <c r="J12" s="17"/>
    </row>
    <row r="13" ht="20.9" customHeight="1">
      <c r="A13" s="32"/>
      <c r="B13" s="16">
        <v>265</v>
      </c>
      <c r="C13" s="17">
        <v>1521</v>
      </c>
      <c r="D13" s="17">
        <f>C13-B13</f>
        <v>1256</v>
      </c>
      <c r="E13" s="17">
        <v>75</v>
      </c>
      <c r="F13" s="17">
        <v>840</v>
      </c>
      <c r="G13" s="17">
        <v>681</v>
      </c>
      <c r="H13" s="17">
        <f>F13+G13-B13-D13</f>
        <v>0</v>
      </c>
      <c r="I13" s="17">
        <f>B13-F13</f>
        <v>-575</v>
      </c>
      <c r="J13" s="17"/>
    </row>
    <row r="14" ht="20.9" customHeight="1">
      <c r="A14" s="32"/>
      <c r="B14" s="16">
        <v>399</v>
      </c>
      <c r="C14" s="17">
        <v>3183</v>
      </c>
      <c r="D14" s="17">
        <f>C14-B14</f>
        <v>2784</v>
      </c>
      <c r="E14" s="17">
        <v>76</v>
      </c>
      <c r="F14" s="17">
        <v>2487</v>
      </c>
      <c r="G14" s="17">
        <v>697</v>
      </c>
      <c r="H14" s="17">
        <f>F14+G14-B14-D14</f>
        <v>1</v>
      </c>
      <c r="I14" s="17">
        <f>B14-F14</f>
        <v>-2088</v>
      </c>
      <c r="J14" s="17"/>
    </row>
    <row r="15" ht="20.9" customHeight="1">
      <c r="A15" s="35">
        <v>2018</v>
      </c>
      <c r="B15" s="16">
        <v>314</v>
      </c>
      <c r="C15" s="17">
        <v>1669</v>
      </c>
      <c r="D15" s="17">
        <f>C15-B15</f>
        <v>1355</v>
      </c>
      <c r="E15" s="17">
        <v>78</v>
      </c>
      <c r="F15" s="17">
        <v>951</v>
      </c>
      <c r="G15" s="17">
        <v>717</v>
      </c>
      <c r="H15" s="17">
        <f>F15+G15-B15-D15</f>
        <v>-1</v>
      </c>
      <c r="I15" s="17">
        <f>B15-F15</f>
        <v>-637</v>
      </c>
      <c r="J15" s="17"/>
    </row>
    <row r="16" ht="20.9" customHeight="1">
      <c r="A16" s="32"/>
      <c r="B16" s="16">
        <v>349</v>
      </c>
      <c r="C16" s="17">
        <v>1937</v>
      </c>
      <c r="D16" s="17">
        <f>C16-B16</f>
        <v>1588</v>
      </c>
      <c r="E16" s="17">
        <v>80</v>
      </c>
      <c r="F16" s="17">
        <v>1203</v>
      </c>
      <c r="G16" s="17">
        <v>734</v>
      </c>
      <c r="H16" s="17">
        <f>F16+G16-B16-D16</f>
        <v>0</v>
      </c>
      <c r="I16" s="17">
        <f>B16-F16</f>
        <v>-854</v>
      </c>
      <c r="J16" s="17"/>
    </row>
    <row r="17" ht="20.9" customHeight="1">
      <c r="A17" s="32"/>
      <c r="B17" s="16">
        <v>249</v>
      </c>
      <c r="C17" s="17">
        <v>1852</v>
      </c>
      <c r="D17" s="17">
        <f>C17-B17</f>
        <v>1603</v>
      </c>
      <c r="E17" s="17">
        <v>81</v>
      </c>
      <c r="F17" s="17">
        <v>1102</v>
      </c>
      <c r="G17" s="17">
        <v>750</v>
      </c>
      <c r="H17" s="17">
        <f>F17+G17-B17-D17</f>
        <v>0</v>
      </c>
      <c r="I17" s="17">
        <f>B17-F17</f>
        <v>-853</v>
      </c>
      <c r="J17" s="17"/>
    </row>
    <row r="18" ht="20.9" customHeight="1">
      <c r="A18" s="32"/>
      <c r="B18" s="16">
        <v>248</v>
      </c>
      <c r="C18" s="17">
        <v>2672</v>
      </c>
      <c r="D18" s="17">
        <f>C18-B18</f>
        <v>2424</v>
      </c>
      <c r="E18" s="17">
        <v>83</v>
      </c>
      <c r="F18" s="17">
        <v>1880</v>
      </c>
      <c r="G18" s="17">
        <v>792</v>
      </c>
      <c r="H18" s="17">
        <f>F18+G18-B18-D18</f>
        <v>0</v>
      </c>
      <c r="I18" s="17">
        <f>B18-F18</f>
        <v>-1632</v>
      </c>
      <c r="J18" s="17"/>
    </row>
    <row r="19" ht="20.9" customHeight="1">
      <c r="A19" s="35">
        <v>2019</v>
      </c>
      <c r="B19" s="16">
        <v>304</v>
      </c>
      <c r="C19" s="17">
        <v>1496</v>
      </c>
      <c r="D19" s="17">
        <f>C19-B19</f>
        <v>1192</v>
      </c>
      <c r="E19" s="17">
        <v>84</v>
      </c>
      <c r="F19" s="17">
        <v>687</v>
      </c>
      <c r="G19" s="17">
        <v>809</v>
      </c>
      <c r="H19" s="17">
        <f>F19+G19-B19-D19</f>
        <v>0</v>
      </c>
      <c r="I19" s="17">
        <f>B19-F19</f>
        <v>-383</v>
      </c>
      <c r="J19" s="17"/>
    </row>
    <row r="20" ht="20.9" customHeight="1">
      <c r="A20" s="32"/>
      <c r="B20" s="16">
        <v>421</v>
      </c>
      <c r="C20" s="17">
        <v>1680</v>
      </c>
      <c r="D20" s="17">
        <f>C20-B20</f>
        <v>1259</v>
      </c>
      <c r="E20" s="17">
        <v>85.09999999999999</v>
      </c>
      <c r="F20" s="17">
        <v>855</v>
      </c>
      <c r="G20" s="17">
        <v>825</v>
      </c>
      <c r="H20" s="17">
        <f>F20+G20-B20-D20</f>
        <v>0</v>
      </c>
      <c r="I20" s="17">
        <f>B20-F20</f>
        <v>-434</v>
      </c>
      <c r="J20" s="17"/>
    </row>
    <row r="21" ht="20.9" customHeight="1">
      <c r="A21" s="32"/>
      <c r="B21" s="16">
        <v>332</v>
      </c>
      <c r="C21" s="17">
        <v>1748</v>
      </c>
      <c r="D21" s="17">
        <f>C21-B21</f>
        <v>1416</v>
      </c>
      <c r="E21" s="17">
        <v>86</v>
      </c>
      <c r="F21" s="17">
        <v>907</v>
      </c>
      <c r="G21" s="17">
        <v>841</v>
      </c>
      <c r="H21" s="17">
        <f>F21+G21-B21-D21</f>
        <v>0</v>
      </c>
      <c r="I21" s="17">
        <f>B21-F21</f>
        <v>-575</v>
      </c>
      <c r="J21" s="17"/>
    </row>
    <row r="22" ht="20.9" customHeight="1">
      <c r="A22" s="32"/>
      <c r="B22" s="16">
        <v>348</v>
      </c>
      <c r="C22" s="17">
        <v>3051</v>
      </c>
      <c r="D22" s="17">
        <f>C22-B22</f>
        <v>2703</v>
      </c>
      <c r="E22" s="17">
        <f>87+22</f>
        <v>109</v>
      </c>
      <c r="F22" s="17">
        <v>2193</v>
      </c>
      <c r="G22" s="17">
        <v>858</v>
      </c>
      <c r="H22" s="17">
        <f>F22+G22-B22-D22</f>
        <v>0</v>
      </c>
      <c r="I22" s="17">
        <f>B22-F22</f>
        <v>-1845</v>
      </c>
      <c r="J22" s="17"/>
    </row>
    <row r="23" ht="20.9" customHeight="1">
      <c r="A23" s="35">
        <v>2020</v>
      </c>
      <c r="B23" s="16">
        <v>487</v>
      </c>
      <c r="C23" s="17">
        <v>3161</v>
      </c>
      <c r="D23" s="17">
        <f>C23-B23</f>
        <v>2674</v>
      </c>
      <c r="E23" s="17">
        <f>91+23</f>
        <v>114</v>
      </c>
      <c r="F23" s="17">
        <v>2305</v>
      </c>
      <c r="G23" s="17">
        <v>856</v>
      </c>
      <c r="H23" s="17">
        <f>F23+G23-B23-D23</f>
        <v>0</v>
      </c>
      <c r="I23" s="17">
        <f>B23-F23</f>
        <v>-1818</v>
      </c>
      <c r="J23" s="22"/>
    </row>
    <row r="24" ht="20.9" customHeight="1">
      <c r="A24" s="32"/>
      <c r="B24" s="16">
        <v>361</v>
      </c>
      <c r="C24" s="17">
        <v>2425</v>
      </c>
      <c r="D24" s="17">
        <f>C24-B24</f>
        <v>2064</v>
      </c>
      <c r="E24" s="22">
        <f>95+24</f>
        <v>119</v>
      </c>
      <c r="F24" s="17">
        <v>1566</v>
      </c>
      <c r="G24" s="17">
        <v>859</v>
      </c>
      <c r="H24" s="17">
        <f>F24+G24-B24-D24</f>
        <v>0</v>
      </c>
      <c r="I24" s="17">
        <f>B24-F24</f>
        <v>-1205</v>
      </c>
      <c r="J24" s="22"/>
    </row>
    <row r="25" ht="20.9" customHeight="1">
      <c r="A25" s="32"/>
      <c r="B25" s="16">
        <v>294</v>
      </c>
      <c r="C25" s="17">
        <v>2890</v>
      </c>
      <c r="D25" s="17">
        <f>C25-B25</f>
        <v>2596</v>
      </c>
      <c r="E25" s="17">
        <f>25+98</f>
        <v>123</v>
      </c>
      <c r="F25" s="17">
        <v>2057</v>
      </c>
      <c r="G25" s="17">
        <v>833</v>
      </c>
      <c r="H25" s="17">
        <f>F25+G25-B25-D25</f>
        <v>0</v>
      </c>
      <c r="I25" s="17">
        <f>B25-F25</f>
        <v>-1763</v>
      </c>
      <c r="J25" s="22"/>
    </row>
    <row r="26" ht="20.9" customHeight="1">
      <c r="A26" s="32"/>
      <c r="B26" s="21">
        <v>421</v>
      </c>
      <c r="C26" s="17">
        <v>2676</v>
      </c>
      <c r="D26" s="17">
        <f>C26-B26</f>
        <v>2255</v>
      </c>
      <c r="E26" s="22">
        <f>102+26</f>
        <v>128</v>
      </c>
      <c r="F26" s="17">
        <v>1854</v>
      </c>
      <c r="G26" s="17">
        <v>822</v>
      </c>
      <c r="H26" s="17">
        <f>F26+G26-B26-D26</f>
        <v>0</v>
      </c>
      <c r="I26" s="17">
        <f>B26-F26</f>
        <v>-1433</v>
      </c>
      <c r="J26" s="22"/>
    </row>
    <row r="27" ht="20.9" customHeight="1">
      <c r="A27" s="35">
        <v>2021</v>
      </c>
      <c r="B27" s="21">
        <v>529</v>
      </c>
      <c r="C27" s="17">
        <v>3485</v>
      </c>
      <c r="D27" s="17">
        <f>C27-B27</f>
        <v>2956</v>
      </c>
      <c r="E27" s="22">
        <f>106+27</f>
        <v>133</v>
      </c>
      <c r="F27" s="17">
        <v>2644</v>
      </c>
      <c r="G27" s="17">
        <v>841</v>
      </c>
      <c r="H27" s="17">
        <f>F27+G27-B27-D27</f>
        <v>0</v>
      </c>
      <c r="I27" s="17">
        <f>B27-F27</f>
        <v>-2115</v>
      </c>
      <c r="J27" s="17"/>
    </row>
    <row r="28" ht="20.9" customHeight="1">
      <c r="A28" s="32"/>
      <c r="B28" s="21">
        <v>511</v>
      </c>
      <c r="C28" s="17">
        <v>2578</v>
      </c>
      <c r="D28" s="17">
        <f>C28-B28</f>
        <v>2067</v>
      </c>
      <c r="E28" s="22">
        <f>109+29</f>
        <v>138</v>
      </c>
      <c r="F28" s="17">
        <v>1724</v>
      </c>
      <c r="G28" s="17">
        <v>854</v>
      </c>
      <c r="H28" s="17">
        <f>F28+G28-B28-D28</f>
        <v>0</v>
      </c>
      <c r="I28" s="17">
        <f>B28-F28</f>
        <v>-1213</v>
      </c>
      <c r="J28" s="22"/>
    </row>
    <row r="29" ht="20.9" customHeight="1">
      <c r="A29" s="32"/>
      <c r="B29" s="21">
        <v>520</v>
      </c>
      <c r="C29" s="17">
        <v>3157</v>
      </c>
      <c r="D29" s="17">
        <f>C29-B29</f>
        <v>2637</v>
      </c>
      <c r="E29" s="22">
        <f>113+30</f>
        <v>143</v>
      </c>
      <c r="F29" s="17">
        <v>2286</v>
      </c>
      <c r="G29" s="17">
        <v>871</v>
      </c>
      <c r="H29" s="17">
        <f>F29+G29-B29-D29</f>
        <v>0</v>
      </c>
      <c r="I29" s="17">
        <f>B29-F29</f>
        <v>-1766</v>
      </c>
      <c r="J29" s="22">
        <f>I29</f>
        <v>-1766</v>
      </c>
    </row>
    <row r="30" ht="20.9" customHeight="1">
      <c r="A30" s="32"/>
      <c r="B30" s="21"/>
      <c r="C30" s="17"/>
      <c r="D30" s="17"/>
      <c r="E30" s="22"/>
      <c r="F30" s="17"/>
      <c r="G30" s="17"/>
      <c r="H30" s="17"/>
      <c r="I30" s="17"/>
      <c r="J30" s="17">
        <f>'Model'!F30</f>
        <v>-1694.010912565990</v>
      </c>
    </row>
  </sheetData>
  <mergeCells count="1">
    <mergeCell ref="A1:J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9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94531" style="41" customWidth="1"/>
    <col min="2" max="2" width="6.86719" style="41" customWidth="1"/>
    <col min="3" max="4" width="8.32031" style="41" customWidth="1"/>
    <col min="5" max="16384" width="16.3516" style="41" customWidth="1"/>
  </cols>
  <sheetData>
    <row r="1" ht="10.95" customHeight="1"/>
    <row r="2" ht="27.65" customHeight="1">
      <c r="B2" t="s" s="2">
        <v>59</v>
      </c>
      <c r="C2" s="2"/>
      <c r="D2" s="2"/>
    </row>
    <row r="3" ht="20.25" customHeight="1">
      <c r="B3" s="4"/>
      <c r="C3" t="s" s="3">
        <v>60</v>
      </c>
      <c r="D3" t="s" s="3">
        <v>37</v>
      </c>
    </row>
    <row r="4" ht="20.25" customHeight="1">
      <c r="B4" s="27">
        <v>2014</v>
      </c>
      <c r="C4" s="42">
        <v>62</v>
      </c>
      <c r="D4" s="7"/>
    </row>
    <row r="5" ht="20.05" customHeight="1">
      <c r="B5" s="32"/>
      <c r="C5" s="18">
        <v>74</v>
      </c>
      <c r="D5" s="23"/>
    </row>
    <row r="6" ht="20.05" customHeight="1">
      <c r="B6" s="32"/>
      <c r="C6" s="18">
        <v>77</v>
      </c>
      <c r="D6" s="23"/>
    </row>
    <row r="7" ht="20.05" customHeight="1">
      <c r="B7" s="32"/>
      <c r="C7" s="18">
        <v>84</v>
      </c>
      <c r="D7" s="23"/>
    </row>
    <row r="8" ht="20.05" customHeight="1">
      <c r="B8" s="32"/>
      <c r="C8" s="18">
        <v>87</v>
      </c>
      <c r="D8" s="23"/>
    </row>
    <row r="9" ht="20.05" customHeight="1">
      <c r="B9" s="32"/>
      <c r="C9" s="18">
        <v>79</v>
      </c>
      <c r="D9" s="23"/>
    </row>
    <row r="10" ht="20.05" customHeight="1">
      <c r="B10" s="32"/>
      <c r="C10" s="18">
        <v>73</v>
      </c>
      <c r="D10" s="23"/>
    </row>
    <row r="11" ht="20.05" customHeight="1">
      <c r="B11" s="32"/>
      <c r="C11" s="18">
        <v>70</v>
      </c>
      <c r="D11" s="23"/>
    </row>
    <row r="12" ht="20.05" customHeight="1">
      <c r="B12" s="32"/>
      <c r="C12" s="18">
        <v>69</v>
      </c>
      <c r="D12" s="23"/>
    </row>
    <row r="13" ht="20.05" customHeight="1">
      <c r="B13" s="32"/>
      <c r="C13" s="18">
        <v>69</v>
      </c>
      <c r="D13" s="23"/>
    </row>
    <row r="14" ht="20.05" customHeight="1">
      <c r="B14" s="32"/>
      <c r="C14" s="18">
        <v>67</v>
      </c>
      <c r="D14" s="23"/>
    </row>
    <row r="15" ht="20.05" customHeight="1">
      <c r="B15" s="32"/>
      <c r="C15" s="18">
        <v>68</v>
      </c>
      <c r="D15" s="23"/>
    </row>
    <row r="16" ht="20.05" customHeight="1">
      <c r="B16" s="35">
        <v>2015</v>
      </c>
      <c r="C16" s="18">
        <v>68</v>
      </c>
      <c r="D16" s="23"/>
    </row>
    <row r="17" ht="20.05" customHeight="1">
      <c r="B17" s="32"/>
      <c r="C17" s="18">
        <v>63</v>
      </c>
      <c r="D17" s="23"/>
    </row>
    <row r="18" ht="20.05" customHeight="1">
      <c r="B18" s="32"/>
      <c r="C18" s="18">
        <v>59</v>
      </c>
      <c r="D18" s="23"/>
    </row>
    <row r="19" ht="20.05" customHeight="1">
      <c r="B19" s="32"/>
      <c r="C19" s="18">
        <v>61</v>
      </c>
      <c r="D19" s="23"/>
    </row>
    <row r="20" ht="20.05" customHeight="1">
      <c r="B20" s="32"/>
      <c r="C20" s="18">
        <v>60</v>
      </c>
      <c r="D20" s="23"/>
    </row>
    <row r="21" ht="20.05" customHeight="1">
      <c r="B21" s="32"/>
      <c r="C21" s="18">
        <v>57</v>
      </c>
      <c r="D21" s="23"/>
    </row>
    <row r="22" ht="20.05" customHeight="1">
      <c r="B22" s="32"/>
      <c r="C22" s="18">
        <v>56</v>
      </c>
      <c r="D22" s="23"/>
    </row>
    <row r="23" ht="20.05" customHeight="1">
      <c r="B23" s="32"/>
      <c r="C23" s="18">
        <v>54</v>
      </c>
      <c r="D23" s="23"/>
    </row>
    <row r="24" ht="20.05" customHeight="1">
      <c r="B24" s="32"/>
      <c r="C24" s="18">
        <v>54</v>
      </c>
      <c r="D24" s="23"/>
    </row>
    <row r="25" ht="20.05" customHeight="1">
      <c r="B25" s="32"/>
      <c r="C25" s="18">
        <v>54</v>
      </c>
      <c r="D25" s="23"/>
    </row>
    <row r="26" ht="20.05" customHeight="1">
      <c r="B26" s="32"/>
      <c r="C26" s="18">
        <v>51</v>
      </c>
      <c r="D26" s="23"/>
    </row>
    <row r="27" ht="20.05" customHeight="1">
      <c r="B27" s="32"/>
      <c r="C27" s="18">
        <v>51</v>
      </c>
      <c r="D27" s="23"/>
    </row>
    <row r="28" ht="20.05" customHeight="1">
      <c r="B28" s="35">
        <v>2016</v>
      </c>
      <c r="C28" s="18">
        <v>50</v>
      </c>
      <c r="D28" s="23"/>
    </row>
    <row r="29" ht="20.05" customHeight="1">
      <c r="B29" s="32"/>
      <c r="C29" s="18">
        <v>61</v>
      </c>
      <c r="D29" s="23"/>
    </row>
    <row r="30" ht="20.05" customHeight="1">
      <c r="B30" s="32"/>
      <c r="C30" s="18">
        <v>80</v>
      </c>
      <c r="D30" s="23"/>
    </row>
    <row r="31" ht="20.05" customHeight="1">
      <c r="B31" s="32"/>
      <c r="C31" s="18">
        <v>62</v>
      </c>
      <c r="D31" s="23"/>
    </row>
    <row r="32" ht="20.05" customHeight="1">
      <c r="B32" s="32"/>
      <c r="C32" s="18">
        <v>55</v>
      </c>
      <c r="D32" s="23"/>
    </row>
    <row r="33" ht="20.05" customHeight="1">
      <c r="B33" s="32"/>
      <c r="C33" s="18">
        <v>57</v>
      </c>
      <c r="D33" s="23"/>
    </row>
    <row r="34" ht="20.05" customHeight="1">
      <c r="B34" s="32"/>
      <c r="C34" s="18">
        <v>64</v>
      </c>
      <c r="D34" s="23"/>
    </row>
    <row r="35" ht="20.05" customHeight="1">
      <c r="B35" s="32"/>
      <c r="C35" s="18">
        <v>62</v>
      </c>
      <c r="D35" s="23"/>
    </row>
    <row r="36" ht="20.05" customHeight="1">
      <c r="B36" s="32"/>
      <c r="C36" s="18">
        <v>64</v>
      </c>
      <c r="D36" s="23"/>
    </row>
    <row r="37" ht="20.05" customHeight="1">
      <c r="B37" s="32"/>
      <c r="C37" s="18">
        <v>67</v>
      </c>
      <c r="D37" s="23"/>
    </row>
    <row r="38" ht="20.05" customHeight="1">
      <c r="B38" s="32"/>
      <c r="C38" s="18">
        <v>67</v>
      </c>
      <c r="D38" s="23"/>
    </row>
    <row r="39" ht="20.05" customHeight="1">
      <c r="B39" s="32"/>
      <c r="C39" s="18">
        <v>69</v>
      </c>
      <c r="D39" s="23"/>
    </row>
    <row r="40" ht="20.05" customHeight="1">
      <c r="B40" s="35">
        <v>2017</v>
      </c>
      <c r="C40" s="18">
        <v>71</v>
      </c>
      <c r="D40" s="23"/>
    </row>
    <row r="41" ht="20.05" customHeight="1">
      <c r="B41" s="32"/>
      <c r="C41" s="18">
        <v>81</v>
      </c>
      <c r="D41" s="23"/>
    </row>
    <row r="42" ht="20.05" customHeight="1">
      <c r="B42" s="32"/>
      <c r="C42" s="18">
        <v>91</v>
      </c>
      <c r="D42" s="23"/>
    </row>
    <row r="43" ht="20.05" customHeight="1">
      <c r="B43" s="32"/>
      <c r="C43" s="18">
        <v>110</v>
      </c>
      <c r="D43" s="23"/>
    </row>
    <row r="44" ht="20.05" customHeight="1">
      <c r="B44" s="32"/>
      <c r="C44" s="18">
        <v>98</v>
      </c>
      <c r="D44" s="23"/>
    </row>
    <row r="45" ht="20.05" customHeight="1">
      <c r="B45" s="32"/>
      <c r="C45" s="18">
        <v>105</v>
      </c>
      <c r="D45" s="23"/>
    </row>
    <row r="46" ht="20.05" customHeight="1">
      <c r="B46" s="32"/>
      <c r="C46" s="18">
        <v>164</v>
      </c>
      <c r="D46" s="23"/>
    </row>
    <row r="47" ht="20.05" customHeight="1">
      <c r="B47" s="32"/>
      <c r="C47" s="18">
        <v>147</v>
      </c>
      <c r="D47" s="23"/>
    </row>
    <row r="48" ht="20.05" customHeight="1">
      <c r="B48" s="32"/>
      <c r="C48" s="18">
        <v>161</v>
      </c>
      <c r="D48" s="23"/>
    </row>
    <row r="49" ht="20.05" customHeight="1">
      <c r="B49" s="32"/>
      <c r="C49" s="18">
        <v>169</v>
      </c>
      <c r="D49" s="23"/>
    </row>
    <row r="50" ht="20.05" customHeight="1">
      <c r="B50" s="32"/>
      <c r="C50" s="18">
        <v>149</v>
      </c>
      <c r="D50" s="23"/>
    </row>
    <row r="51" ht="20.05" customHeight="1">
      <c r="B51" s="32"/>
      <c r="C51" s="18">
        <v>149</v>
      </c>
      <c r="D51" s="23"/>
    </row>
    <row r="52" ht="20.05" customHeight="1">
      <c r="B52" s="35">
        <v>2018</v>
      </c>
      <c r="C52" s="18">
        <v>144</v>
      </c>
      <c r="D52" s="23"/>
    </row>
    <row r="53" ht="20.05" customHeight="1">
      <c r="B53" s="32"/>
      <c r="C53" s="18">
        <v>126</v>
      </c>
      <c r="D53" s="23"/>
    </row>
    <row r="54" ht="20.05" customHeight="1">
      <c r="B54" s="32"/>
      <c r="C54" s="18">
        <v>118</v>
      </c>
      <c r="D54" s="23"/>
    </row>
    <row r="55" ht="20.05" customHeight="1">
      <c r="B55" s="32"/>
      <c r="C55" s="18">
        <v>119</v>
      </c>
      <c r="D55" s="23"/>
    </row>
    <row r="56" ht="20.05" customHeight="1">
      <c r="B56" s="32"/>
      <c r="C56" s="18">
        <v>125</v>
      </c>
      <c r="D56" s="23"/>
    </row>
    <row r="57" ht="20.05" customHeight="1">
      <c r="B57" s="32"/>
      <c r="C57" s="18">
        <v>114</v>
      </c>
      <c r="D57" s="23"/>
    </row>
    <row r="58" ht="20.05" customHeight="1">
      <c r="B58" s="32"/>
      <c r="C58" s="18">
        <v>117</v>
      </c>
      <c r="D58" s="23"/>
    </row>
    <row r="59" ht="20.05" customHeight="1">
      <c r="B59" s="32"/>
      <c r="C59" s="18">
        <v>119</v>
      </c>
      <c r="D59" s="23"/>
    </row>
    <row r="60" ht="20.05" customHeight="1">
      <c r="B60" s="32"/>
      <c r="C60" s="18">
        <v>119</v>
      </c>
      <c r="D60" s="23"/>
    </row>
    <row r="61" ht="20.05" customHeight="1">
      <c r="B61" s="32"/>
      <c r="C61" s="18">
        <v>116</v>
      </c>
      <c r="D61" s="23"/>
    </row>
    <row r="62" ht="20.05" customHeight="1">
      <c r="B62" s="32"/>
      <c r="C62" s="18">
        <v>124</v>
      </c>
      <c r="D62" s="23"/>
    </row>
    <row r="63" ht="20.05" customHeight="1">
      <c r="B63" s="32"/>
      <c r="C63" s="18">
        <v>124</v>
      </c>
      <c r="D63" s="23"/>
    </row>
    <row r="64" ht="20.05" customHeight="1">
      <c r="B64" s="35">
        <v>2019</v>
      </c>
      <c r="C64" s="18">
        <v>122</v>
      </c>
      <c r="D64" s="23"/>
    </row>
    <row r="65" ht="20.05" customHeight="1">
      <c r="B65" s="32"/>
      <c r="C65" s="18">
        <v>140</v>
      </c>
      <c r="D65" s="23"/>
    </row>
    <row r="66" ht="20.05" customHeight="1">
      <c r="B66" s="32"/>
      <c r="C66" s="18">
        <v>137</v>
      </c>
      <c r="D66" s="23"/>
    </row>
    <row r="67" ht="20.05" customHeight="1">
      <c r="B67" s="32"/>
      <c r="C67" s="18">
        <v>144</v>
      </c>
      <c r="D67" s="23"/>
    </row>
    <row r="68" ht="20.05" customHeight="1">
      <c r="B68" s="32"/>
      <c r="C68" s="18">
        <v>165</v>
      </c>
      <c r="D68" s="23"/>
    </row>
    <row r="69" ht="20.05" customHeight="1">
      <c r="B69" s="32"/>
      <c r="C69" s="18">
        <v>170</v>
      </c>
      <c r="D69" s="23"/>
    </row>
    <row r="70" ht="20.05" customHeight="1">
      <c r="B70" s="32"/>
      <c r="C70" s="18">
        <v>146</v>
      </c>
      <c r="D70" s="23"/>
    </row>
    <row r="71" ht="20.05" customHeight="1">
      <c r="B71" s="32"/>
      <c r="C71" s="18">
        <v>160</v>
      </c>
      <c r="D71" s="23"/>
    </row>
    <row r="72" ht="20.05" customHeight="1">
      <c r="B72" s="32"/>
      <c r="C72" s="18">
        <v>154</v>
      </c>
      <c r="D72" s="23"/>
    </row>
    <row r="73" ht="20.05" customHeight="1">
      <c r="B73" s="32"/>
      <c r="C73" s="18">
        <v>150</v>
      </c>
      <c r="D73" s="23"/>
    </row>
    <row r="74" ht="20.05" customHeight="1">
      <c r="B74" s="32"/>
      <c r="C74" s="18">
        <v>150</v>
      </c>
      <c r="D74" s="23"/>
    </row>
    <row r="75" ht="20.05" customHeight="1">
      <c r="B75" s="32"/>
      <c r="C75" s="18">
        <v>147</v>
      </c>
      <c r="D75" s="23"/>
    </row>
    <row r="76" ht="20.05" customHeight="1">
      <c r="B76" s="35">
        <v>2020</v>
      </c>
      <c r="C76" s="18">
        <v>137</v>
      </c>
      <c r="D76" s="23"/>
    </row>
    <row r="77" ht="20.05" customHeight="1">
      <c r="B77" s="32"/>
      <c r="C77" s="18">
        <v>135</v>
      </c>
      <c r="D77" s="23"/>
    </row>
    <row r="78" ht="20.05" customHeight="1">
      <c r="B78" s="32"/>
      <c r="C78" s="18">
        <v>130</v>
      </c>
      <c r="D78" s="23"/>
    </row>
    <row r="79" ht="20.05" customHeight="1">
      <c r="B79" s="32"/>
      <c r="C79" s="18">
        <v>115</v>
      </c>
      <c r="D79" s="23"/>
    </row>
    <row r="80" ht="20.05" customHeight="1">
      <c r="B80" s="32"/>
      <c r="C80" s="18">
        <v>122</v>
      </c>
      <c r="D80" s="22">
        <v>221.666666666667</v>
      </c>
    </row>
    <row r="81" ht="20.05" customHeight="1">
      <c r="B81" s="32"/>
      <c r="C81" s="18">
        <v>119</v>
      </c>
      <c r="D81" s="22">
        <v>221.666666666667</v>
      </c>
    </row>
    <row r="82" ht="20.05" customHeight="1">
      <c r="B82" s="32"/>
      <c r="C82" s="16">
        <v>115</v>
      </c>
      <c r="D82" s="22">
        <v>223.379216543181</v>
      </c>
    </row>
    <row r="83" ht="20.05" customHeight="1">
      <c r="B83" s="32"/>
      <c r="C83" s="16">
        <v>117</v>
      </c>
      <c r="D83" s="22">
        <v>223.379216543181</v>
      </c>
    </row>
    <row r="84" ht="20.05" customHeight="1">
      <c r="B84" s="32"/>
      <c r="C84" s="16">
        <v>109</v>
      </c>
      <c r="D84" s="22">
        <v>223.379216543181</v>
      </c>
    </row>
    <row r="85" ht="20.05" customHeight="1">
      <c r="B85" s="32"/>
      <c r="C85" s="16">
        <v>110</v>
      </c>
      <c r="D85" s="22">
        <v>199.939577847445</v>
      </c>
    </row>
    <row r="86" ht="20.05" customHeight="1">
      <c r="B86" s="32"/>
      <c r="C86" s="16">
        <v>118</v>
      </c>
      <c r="D86" s="22">
        <v>199.939577847445</v>
      </c>
    </row>
    <row r="87" ht="20.05" customHeight="1">
      <c r="B87" s="32"/>
      <c r="C87" s="16">
        <v>94</v>
      </c>
      <c r="D87" s="22">
        <v>199.939577847445</v>
      </c>
    </row>
    <row r="88" ht="20.05" customHeight="1">
      <c r="B88" s="35">
        <v>2021</v>
      </c>
      <c r="C88" s="16">
        <v>95</v>
      </c>
      <c r="D88" s="22">
        <v>199.939577847445</v>
      </c>
    </row>
    <row r="89" ht="20.05" customHeight="1">
      <c r="B89" s="32"/>
      <c r="C89" s="16">
        <v>91</v>
      </c>
      <c r="D89" s="22">
        <v>199.939577847445</v>
      </c>
    </row>
    <row r="90" ht="20.05" customHeight="1">
      <c r="B90" s="32"/>
      <c r="C90" s="16">
        <v>114</v>
      </c>
      <c r="D90" s="22">
        <v>199.939577847445</v>
      </c>
    </row>
    <row r="91" ht="20.05" customHeight="1">
      <c r="B91" s="32"/>
      <c r="C91" s="16">
        <v>143</v>
      </c>
      <c r="D91" s="22">
        <v>199.939577847445</v>
      </c>
    </row>
    <row r="92" ht="20.05" customHeight="1">
      <c r="B92" s="32"/>
      <c r="C92" s="16">
        <v>130</v>
      </c>
      <c r="D92" s="22">
        <v>338.556708671965</v>
      </c>
    </row>
    <row r="93" ht="20.05" customHeight="1">
      <c r="B93" s="32"/>
      <c r="C93" s="16">
        <v>115</v>
      </c>
      <c r="D93" s="22">
        <v>338.556708671965</v>
      </c>
    </row>
    <row r="94" ht="20.05" customHeight="1">
      <c r="B94" s="32"/>
      <c r="C94" s="16">
        <v>190</v>
      </c>
      <c r="D94" s="22">
        <v>329.747530614360</v>
      </c>
    </row>
    <row r="95" ht="20.05" customHeight="1">
      <c r="B95" s="32"/>
      <c r="C95" s="16">
        <v>250</v>
      </c>
      <c r="D95" s="23"/>
    </row>
    <row r="96" ht="20.05" customHeight="1">
      <c r="B96" s="32"/>
      <c r="C96" s="16">
        <v>326</v>
      </c>
      <c r="D96" s="23"/>
    </row>
    <row r="97" ht="20.05" customHeight="1">
      <c r="B97" s="32"/>
      <c r="C97" s="16">
        <v>422</v>
      </c>
      <c r="D97" s="23"/>
    </row>
    <row r="98" ht="20.05" customHeight="1">
      <c r="B98" s="32"/>
      <c r="C98" s="16">
        <v>454</v>
      </c>
      <c r="D98" s="22">
        <f>C98</f>
        <v>454</v>
      </c>
    </row>
    <row r="99" ht="20.05" customHeight="1">
      <c r="B99" s="32"/>
      <c r="C99" s="16"/>
      <c r="D99" s="22">
        <f>'Model'!F42</f>
        <v>332.669562035789</v>
      </c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1406" style="43" customWidth="1"/>
    <col min="2" max="2" width="8.61719" style="43" customWidth="1"/>
    <col min="3" max="5" width="10.3828" style="43" customWidth="1"/>
    <col min="6" max="16384" width="16.3516" style="43" customWidth="1"/>
  </cols>
  <sheetData>
    <row r="1" ht="150.95" customHeight="1"/>
    <row r="2" ht="27.65" customHeight="1">
      <c r="B2" t="s" s="2">
        <v>61</v>
      </c>
      <c r="C2" s="2"/>
      <c r="D2" s="2"/>
      <c r="E2" s="2"/>
    </row>
    <row r="3" ht="44.25" customHeight="1">
      <c r="B3" s="4"/>
      <c r="C3" t="s" s="26">
        <v>62</v>
      </c>
      <c r="D3" t="s" s="26">
        <v>5</v>
      </c>
      <c r="E3" t="s" s="26">
        <v>63</v>
      </c>
    </row>
    <row r="4" ht="20.25" customHeight="1">
      <c r="B4" s="27">
        <v>2014</v>
      </c>
      <c r="C4" s="44">
        <v>1901</v>
      </c>
      <c r="D4" s="39">
        <v>260721</v>
      </c>
      <c r="E4" s="45">
        <f>C4/D4</f>
        <v>0.00729131907287867</v>
      </c>
    </row>
    <row r="5" ht="20.05" customHeight="1">
      <c r="B5" s="35">
        <v>2015</v>
      </c>
      <c r="C5" s="21">
        <v>4361</v>
      </c>
      <c r="D5" s="22">
        <v>323112</v>
      </c>
      <c r="E5" s="46">
        <f>C5/D5</f>
        <v>0.0134968679590978</v>
      </c>
    </row>
    <row r="6" ht="20.05" customHeight="1">
      <c r="B6" s="35">
        <v>2016</v>
      </c>
      <c r="C6" s="21">
        <v>7001</v>
      </c>
      <c r="D6" s="22">
        <v>394833</v>
      </c>
      <c r="E6" s="46">
        <f>C6/D6</f>
        <v>0.0177315472617537</v>
      </c>
    </row>
    <row r="7" ht="20.05" customHeight="1">
      <c r="B7" s="35">
        <v>2017</v>
      </c>
      <c r="C7" s="21">
        <v>7748</v>
      </c>
      <c r="D7" s="22">
        <v>402679</v>
      </c>
      <c r="E7" s="46">
        <f>C7/D7</f>
        <v>0.0192411325149809</v>
      </c>
    </row>
    <row r="8" ht="20.05" customHeight="1">
      <c r="B8" s="35">
        <v>2018</v>
      </c>
      <c r="C8" s="21">
        <v>12045</v>
      </c>
      <c r="D8" s="22">
        <v>448528</v>
      </c>
      <c r="E8" s="46">
        <f>C8/D8</f>
        <v>0.0268545107551814</v>
      </c>
    </row>
    <row r="9" ht="20.05" customHeight="1">
      <c r="B9" s="35">
        <v>2019</v>
      </c>
      <c r="C9" s="21">
        <v>11211</v>
      </c>
      <c r="D9" s="22">
        <v>443009</v>
      </c>
      <c r="E9" s="46">
        <f>C9/D9</f>
        <v>0.025306483615457</v>
      </c>
    </row>
    <row r="10" ht="20.05" customHeight="1">
      <c r="B10" s="35">
        <v>2020</v>
      </c>
      <c r="C10" s="21">
        <v>11552</v>
      </c>
      <c r="D10" s="22">
        <v>424019</v>
      </c>
      <c r="E10" s="46">
        <f>C10/D10</f>
        <v>0.0272440621764591</v>
      </c>
    </row>
    <row r="11" ht="20.05" customHeight="1">
      <c r="B11" s="35">
        <v>2021</v>
      </c>
      <c r="C11" s="21">
        <v>7616</v>
      </c>
      <c r="D11" s="22">
        <v>234676</v>
      </c>
      <c r="E11" s="46">
        <f>C11/D11</f>
        <v>0.0324532547000972</v>
      </c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