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<sst xmlns="http://schemas.openxmlformats.org/spreadsheetml/2006/main" uniqueCount="56">
  <si>
    <t>Financial model</t>
  </si>
  <si>
    <t>$m</t>
  </si>
  <si>
    <t>4Q 2021</t>
  </si>
  <si>
    <t xml:space="preserve">Cashflow </t>
  </si>
  <si>
    <t xml:space="preserve">Growth </t>
  </si>
  <si>
    <t>Sales</t>
  </si>
  <si>
    <t>Cost ratio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</si>
  <si>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</si>
  <si>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</si>
  <si>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</si>
  <si>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</si>
  <si>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</si>
  <si>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</si>
  <si>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>Before revolver</t>
  </si>
  <si>
    <t>Revolver</t>
  </si>
  <si>
    <t>Beginning</t>
  </si>
  <si>
    <t>Change</t>
  </si>
  <si>
    <t xml:space="preserve">Ending </t>
  </si>
  <si>
    <t>Profit</t>
  </si>
  <si>
    <t xml:space="preserve">Non cash costs </t>
  </si>
  <si>
    <t xml:space="preserve">Profit </t>
  </si>
  <si>
    <t>Balance sheet</t>
  </si>
  <si>
    <t>Other assets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</si>
  <si>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</si>
  <si>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</si>
  <si>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</si>
  <si>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</si>
  <si>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</si>
  <si>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</si>
  <si>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</si>
  <si>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</si>
  <si>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 xml:space="preserve">P/assets </t>
  </si>
  <si>
    <t>Yield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</si>
  <si>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</si>
  <si>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</si>
  <si>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</si>
  <si>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</si>
  <si>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</si>
  <si>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</si>
  <si>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</si>
  <si>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</si>
  <si>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</si>
  <si>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</si>
  <si>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Cost ratio </t>
  </si>
  <si>
    <t xml:space="preserve">Cashflow costs </t>
  </si>
  <si>
    <t>Cashflow</t>
  </si>
  <si>
    <t>Receipts</t>
  </si>
  <si>
    <t xml:space="preserve">Investment </t>
  </si>
  <si>
    <t>Interest</t>
  </si>
  <si>
    <t xml:space="preserve">Free cashflow </t>
  </si>
  <si>
    <t xml:space="preserve"> Capital</t>
  </si>
  <si>
    <t>Cash</t>
  </si>
  <si>
    <t>Assets</t>
  </si>
  <si>
    <t>Share price</t>
  </si>
  <si>
    <t>TPIA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</si>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</sst>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_);[Red]\(0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horizontal="left"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652910</xdr:colOff>
      <xdr:row>1</xdr:row>
      <xdr:rowOff>301792</xdr:rowOff>
    </xdr:from>
    <xdr:to>
      <xdr:col>12</xdr:col>
      <xdr:colOff>1241823</xdr:colOff>
      <xdr:row>46</xdr:row>
      <xdr:rowOff>109702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45510" y="692317"/>
          <a:ext cx="8056513" cy="1136808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6562" style="1" customWidth="1"/>
    <col min="2" max="2" width="14.7656" style="1" customWidth="1"/>
    <col min="3" max="6" width="9.14062" style="1" customWidth="1"/>
    <col min="7" max="16384" width="16.3516" style="1" customWidth="1"/>
  </cols>
  <sheetData>
    <row r="1" ht="30.7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AVERAGE('Sales'!G23:G26)</f>
        <v>0.103624800517714</v>
      </c>
      <c r="D4" s="8"/>
      <c r="E4" s="8"/>
      <c r="F4" s="9">
        <f>AVERAGE(C5:F5)</f>
        <v>0.05</v>
      </c>
    </row>
    <row r="5" ht="20.05" customHeight="1">
      <c r="B5" t="s" s="10">
        <v>4</v>
      </c>
      <c r="C5" s="11">
        <v>0.07000000000000001</v>
      </c>
      <c r="D5" s="12">
        <v>0</v>
      </c>
      <c r="E5" s="12">
        <v>0</v>
      </c>
      <c r="F5" s="12">
        <v>0.13</v>
      </c>
    </row>
    <row r="6" ht="20.05" customHeight="1">
      <c r="B6" t="s" s="10">
        <v>5</v>
      </c>
      <c r="C6" s="13">
        <f>'Sales'!C26*(1+C5)</f>
        <v>662.651</v>
      </c>
      <c r="D6" s="14">
        <f>C6*(1+D5)</f>
        <v>662.651</v>
      </c>
      <c r="E6" s="14">
        <f>D6*(1+E5)</f>
        <v>662.651</v>
      </c>
      <c r="F6" s="14">
        <f>E6*(1+F5)</f>
        <v>748.79563</v>
      </c>
    </row>
    <row r="7" ht="20.05" customHeight="1">
      <c r="B7" t="s" s="10">
        <v>6</v>
      </c>
      <c r="C7" s="15">
        <f>AVERAGE('Sales'!I26)</f>
        <v>-0.83453136086274</v>
      </c>
      <c r="D7" s="16">
        <f>C7</f>
        <v>-0.83453136086274</v>
      </c>
      <c r="E7" s="16">
        <f>D7</f>
        <v>-0.83453136086274</v>
      </c>
      <c r="F7" s="16">
        <f>E7</f>
        <v>-0.83453136086274</v>
      </c>
    </row>
    <row r="8" ht="20.05" customHeight="1">
      <c r="B8" t="s" s="10">
        <v>7</v>
      </c>
      <c r="C8" s="17">
        <f>C6*C7</f>
        <v>-553.003040807056</v>
      </c>
      <c r="D8" s="18">
        <f>D6*D7</f>
        <v>-553.003040807056</v>
      </c>
      <c r="E8" s="18">
        <f>E6*E7</f>
        <v>-553.003040807056</v>
      </c>
      <c r="F8" s="18">
        <f>F6*F7</f>
        <v>-624.893436111973</v>
      </c>
    </row>
    <row r="9" ht="20.05" customHeight="1">
      <c r="B9" t="s" s="10">
        <v>8</v>
      </c>
      <c r="C9" s="19">
        <f>C6+C8</f>
        <v>109.647959192944</v>
      </c>
      <c r="D9" s="20">
        <f>D6+D8</f>
        <v>109.647959192944</v>
      </c>
      <c r="E9" s="20">
        <f>E6+E8</f>
        <v>109.647959192944</v>
      </c>
      <c r="F9" s="20">
        <f>F6+F8</f>
        <v>123.902193888027</v>
      </c>
    </row>
    <row r="10" ht="20.05" customHeight="1">
      <c r="B10" t="s" s="10">
        <v>9</v>
      </c>
      <c r="C10" s="17">
        <f>AVERAGE('Cashflow'!E23:E26)</f>
        <v>-41.075</v>
      </c>
      <c r="D10" s="18">
        <f>C10</f>
        <v>-41.075</v>
      </c>
      <c r="E10" s="18">
        <f>D10</f>
        <v>-41.075</v>
      </c>
      <c r="F10" s="18">
        <f>E10</f>
        <v>-41.075</v>
      </c>
    </row>
    <row r="11" ht="20.05" customHeight="1">
      <c r="B11" t="s" s="10">
        <v>10</v>
      </c>
      <c r="C11" s="17">
        <f>C12+C13+C15</f>
        <v>-68.572959192944</v>
      </c>
      <c r="D11" s="18">
        <f>D12+D13+D15</f>
        <v>-68.572959192944</v>
      </c>
      <c r="E11" s="18">
        <f>E12+E13+E15</f>
        <v>-68.572959192944</v>
      </c>
      <c r="F11" s="18">
        <f>F12+F13+F15</f>
        <v>-82.827193888027</v>
      </c>
    </row>
    <row r="12" ht="20.05" customHeight="1">
      <c r="B12" t="s" s="10">
        <v>11</v>
      </c>
      <c r="C12" s="17">
        <f>-'Balance Sheet'!F25/20</f>
        <v>-82.8</v>
      </c>
      <c r="D12" s="18">
        <f>-C26/20</f>
        <v>-78.66</v>
      </c>
      <c r="E12" s="18">
        <f>-D26/20</f>
        <v>-74.727</v>
      </c>
      <c r="F12" s="18">
        <f>-E26/20</f>
        <v>-70.99065</v>
      </c>
    </row>
    <row r="13" ht="20.05" customHeight="1">
      <c r="B13" t="s" s="10">
        <v>12</v>
      </c>
      <c r="C13" s="19">
        <f>IF(C21&gt;0,-C21*0.3,0)</f>
        <v>-24.6743877578832</v>
      </c>
      <c r="D13" s="20">
        <f>IF(D21&gt;0,-D21*0.3,0)</f>
        <v>-24.6743877578832</v>
      </c>
      <c r="E13" s="20">
        <f>IF(E21&gt;0,-E21*0.3,0)</f>
        <v>-24.6743877578832</v>
      </c>
      <c r="F13" s="20">
        <f>IF(F21&gt;0,-F21*0.3,0)</f>
        <v>-28.9506581664081</v>
      </c>
    </row>
    <row r="14" ht="20.05" customHeight="1">
      <c r="B14" t="s" s="10">
        <v>13</v>
      </c>
      <c r="C14" s="17">
        <f>C9+C10+C12+C13</f>
        <v>-38.9014285649392</v>
      </c>
      <c r="D14" s="18">
        <f>D9+D10+D12+D13</f>
        <v>-34.7614285649392</v>
      </c>
      <c r="E14" s="18">
        <f>E9+E10+E12+E13</f>
        <v>-30.8284285649392</v>
      </c>
      <c r="F14" s="18">
        <f>F9+F10+F12+F13</f>
        <v>-17.1141142783811</v>
      </c>
    </row>
    <row r="15" ht="20.05" customHeight="1">
      <c r="B15" t="s" s="10">
        <v>14</v>
      </c>
      <c r="C15" s="17">
        <f>-MIN(0,C14)</f>
        <v>38.9014285649392</v>
      </c>
      <c r="D15" s="18">
        <f>-MIN(C27,D14)</f>
        <v>34.7614285649392</v>
      </c>
      <c r="E15" s="18">
        <f>-MIN(D27,E14)</f>
        <v>30.8284285649392</v>
      </c>
      <c r="F15" s="18">
        <f>-MIN(E27,F14)</f>
        <v>17.1141142783811</v>
      </c>
    </row>
    <row r="16" ht="20.05" customHeight="1">
      <c r="B16" t="s" s="10">
        <v>15</v>
      </c>
      <c r="C16" s="17">
        <f>'Balance Sheet'!B25</f>
        <v>1687</v>
      </c>
      <c r="D16" s="18">
        <f>C18</f>
        <v>1687</v>
      </c>
      <c r="E16" s="18">
        <f>D18</f>
        <v>1687</v>
      </c>
      <c r="F16" s="18">
        <f>E18</f>
        <v>1687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1687</v>
      </c>
      <c r="D18" s="18">
        <f>D16+D17</f>
        <v>1687</v>
      </c>
      <c r="E18" s="18">
        <f>E16+E17</f>
        <v>1687</v>
      </c>
      <c r="F18" s="18">
        <f>F16+F17</f>
        <v>1687</v>
      </c>
    </row>
    <row r="19" ht="20.05" customHeight="1">
      <c r="B19" t="s" s="21">
        <v>18</v>
      </c>
      <c r="C19" s="22"/>
      <c r="D19" s="23"/>
      <c r="E19" s="23"/>
      <c r="F19" s="24"/>
    </row>
    <row r="20" ht="20.05" customHeight="1">
      <c r="B20" t="s" s="10">
        <v>19</v>
      </c>
      <c r="C20" s="17">
        <f>-AVERAGE('Sales'!E26)</f>
        <v>-27.4</v>
      </c>
      <c r="D20" s="18">
        <f>C20</f>
        <v>-27.4</v>
      </c>
      <c r="E20" s="18">
        <f>D20</f>
        <v>-27.4</v>
      </c>
      <c r="F20" s="18">
        <f>E20</f>
        <v>-27.4</v>
      </c>
    </row>
    <row r="21" ht="20.05" customHeight="1">
      <c r="B21" t="s" s="10">
        <v>20</v>
      </c>
      <c r="C21" s="19">
        <f>C6+C8+C20</f>
        <v>82.24795919294399</v>
      </c>
      <c r="D21" s="20">
        <f>D6+D8+D20</f>
        <v>82.24795919294399</v>
      </c>
      <c r="E21" s="20">
        <f>E6+E8+E20</f>
        <v>82.24795919294399</v>
      </c>
      <c r="F21" s="20">
        <f>F6+F8+F20</f>
        <v>96.50219388802699</v>
      </c>
    </row>
    <row r="22" ht="20.05" customHeight="1">
      <c r="B22" t="s" s="21">
        <v>21</v>
      </c>
      <c r="C22" s="22"/>
      <c r="D22" s="23"/>
      <c r="E22" s="23"/>
      <c r="F22" s="20"/>
    </row>
    <row r="23" ht="20.05" customHeight="1">
      <c r="B23" t="s" s="10">
        <v>22</v>
      </c>
      <c r="C23" s="17">
        <f>'Balance Sheet'!D25+'Balance Sheet'!E25-C10</f>
        <v>4579.075</v>
      </c>
      <c r="D23" s="18">
        <f>C23-D10</f>
        <v>4620.15</v>
      </c>
      <c r="E23" s="18">
        <f>D23-E10</f>
        <v>4661.225</v>
      </c>
      <c r="F23" s="18">
        <f>E23-F10</f>
        <v>4702.3</v>
      </c>
    </row>
    <row r="24" ht="20.05" customHeight="1">
      <c r="B24" t="s" s="10">
        <v>23</v>
      </c>
      <c r="C24" s="17">
        <f>'Balance Sheet'!E25-C20</f>
        <v>1661.4</v>
      </c>
      <c r="D24" s="18">
        <f>C24-D20</f>
        <v>1688.8</v>
      </c>
      <c r="E24" s="18">
        <f>D24-E20</f>
        <v>1716.2</v>
      </c>
      <c r="F24" s="18">
        <f>E24-F20</f>
        <v>1743.6</v>
      </c>
    </row>
    <row r="25" ht="20.05" customHeight="1">
      <c r="B25" t="s" s="10">
        <v>24</v>
      </c>
      <c r="C25" s="17">
        <f>C23-C24</f>
        <v>2917.675</v>
      </c>
      <c r="D25" s="18">
        <f>D23-D24</f>
        <v>2931.35</v>
      </c>
      <c r="E25" s="18">
        <f>E23-E24</f>
        <v>2945.025</v>
      </c>
      <c r="F25" s="18">
        <f>F23-F24</f>
        <v>2958.7</v>
      </c>
    </row>
    <row r="26" ht="20.05" customHeight="1">
      <c r="B26" t="s" s="10">
        <v>11</v>
      </c>
      <c r="C26" s="17">
        <f>'Balance Sheet'!F25+C12</f>
        <v>1573.2</v>
      </c>
      <c r="D26" s="18">
        <f>C26+D12</f>
        <v>1494.54</v>
      </c>
      <c r="E26" s="18">
        <f>D26+E12</f>
        <v>1419.813</v>
      </c>
      <c r="F26" s="18">
        <f>E26+F12</f>
        <v>1348.82235</v>
      </c>
    </row>
    <row r="27" ht="20.05" customHeight="1">
      <c r="B27" t="s" s="10">
        <v>14</v>
      </c>
      <c r="C27" s="17">
        <f>C15</f>
        <v>38.9014285649392</v>
      </c>
      <c r="D27" s="18">
        <f>C27+D15</f>
        <v>73.6628571298784</v>
      </c>
      <c r="E27" s="18">
        <f>D27+E15</f>
        <v>104.491285694818</v>
      </c>
      <c r="F27" s="18">
        <f>E27+F15</f>
        <v>121.605399973199</v>
      </c>
    </row>
    <row r="28" ht="20.05" customHeight="1">
      <c r="B28" t="s" s="10">
        <v>12</v>
      </c>
      <c r="C28" s="17">
        <f>'Balance Sheet'!G25+C21+C13</f>
        <v>2992.573571435060</v>
      </c>
      <c r="D28" s="18">
        <f>C28+D21+D13</f>
        <v>3050.147142870120</v>
      </c>
      <c r="E28" s="18">
        <f>D28+E21+E13</f>
        <v>3107.720714305180</v>
      </c>
      <c r="F28" s="18">
        <f>E28+F21+F13</f>
        <v>3175.2722500268</v>
      </c>
    </row>
    <row r="29" ht="20.05" customHeight="1">
      <c r="B29" t="s" s="10">
        <v>25</v>
      </c>
      <c r="C29" s="17">
        <f>C26+C27+C28-C18-C25</f>
        <v>-8e-13</v>
      </c>
      <c r="D29" s="18">
        <f>D26+D27+D28-D18-D25</f>
        <v>-1.6e-12</v>
      </c>
      <c r="E29" s="18">
        <f>E26+E27+E28-E18-E25</f>
        <v>-2e-12</v>
      </c>
      <c r="F29" s="18">
        <f>F26+F27+F28-F18-F25</f>
        <v>-1e-12</v>
      </c>
    </row>
    <row r="30" ht="20.05" customHeight="1">
      <c r="B30" t="s" s="10">
        <v>26</v>
      </c>
      <c r="C30" s="17">
        <f>C18-C26-C27</f>
        <v>74.8985714350608</v>
      </c>
      <c r="D30" s="18">
        <f>D18-D26-D27</f>
        <v>118.797142870122</v>
      </c>
      <c r="E30" s="18">
        <f>E18-E26-E27</f>
        <v>162.695714305182</v>
      </c>
      <c r="F30" s="18">
        <f>F18-F26-F27</f>
        <v>216.572250026801</v>
      </c>
    </row>
    <row r="31" ht="20.05" customHeight="1">
      <c r="B31" t="s" s="21">
        <v>27</v>
      </c>
      <c r="C31" s="17"/>
      <c r="D31" s="18"/>
      <c r="E31" s="18"/>
      <c r="F31" s="18"/>
    </row>
    <row r="32" ht="20.05" customHeight="1">
      <c r="B32" t="s" s="10">
        <v>28</v>
      </c>
      <c r="C32" s="17"/>
      <c r="D32" s="18"/>
      <c r="E32" s="18"/>
      <c r="F32" s="18">
        <v>14</v>
      </c>
    </row>
    <row r="33" ht="20.05" customHeight="1">
      <c r="B33" t="s" s="10">
        <v>29</v>
      </c>
      <c r="C33" s="17">
        <f>'Cashflow'!L26-C11</f>
        <v>-1294.585040807060</v>
      </c>
      <c r="D33" s="18">
        <f>C33-D11</f>
        <v>-1226.012081614120</v>
      </c>
      <c r="E33" s="18">
        <f>D33-E11</f>
        <v>-1157.439122421180</v>
      </c>
      <c r="F33" s="18">
        <f>E33-F11</f>
        <v>-1074.611928533150</v>
      </c>
    </row>
    <row r="34" ht="20.05" customHeight="1">
      <c r="B34" t="s" s="10">
        <v>30</v>
      </c>
      <c r="C34" s="17"/>
      <c r="D34" s="18"/>
      <c r="E34" s="18"/>
      <c r="F34" s="18">
        <f>157300/F32</f>
        <v>11235.7142857143</v>
      </c>
    </row>
    <row r="35" ht="20.05" customHeight="1">
      <c r="B35" t="s" s="10">
        <v>31</v>
      </c>
      <c r="C35" s="17"/>
      <c r="D35" s="18"/>
      <c r="E35" s="18"/>
      <c r="F35" s="25">
        <f>F34/(F18+F25)</f>
        <v>2.41851912213753</v>
      </c>
    </row>
    <row r="36" ht="20.05" customHeight="1">
      <c r="B36" t="s" s="10">
        <v>32</v>
      </c>
      <c r="C36" s="17"/>
      <c r="D36" s="18"/>
      <c r="E36" s="18"/>
      <c r="F36" s="16">
        <f>-(C13+D13+E13+F13)/F34</f>
        <v>0.009164866498161509</v>
      </c>
    </row>
    <row r="37" ht="20.05" customHeight="1">
      <c r="B37" t="s" s="10">
        <v>3</v>
      </c>
      <c r="C37" s="17"/>
      <c r="D37" s="18"/>
      <c r="E37" s="18"/>
      <c r="F37" s="18">
        <f>SUM(C9:F10)</f>
        <v>288.546071466859</v>
      </c>
    </row>
    <row r="38" ht="20.05" customHeight="1">
      <c r="B38" t="s" s="10">
        <v>33</v>
      </c>
      <c r="C38" s="17"/>
      <c r="D38" s="18"/>
      <c r="E38" s="18"/>
      <c r="F38" s="18">
        <f>'Balance Sheet'!D25/F37</f>
        <v>10.0642506939608</v>
      </c>
    </row>
    <row r="39" ht="20.05" customHeight="1">
      <c r="B39" t="s" s="10">
        <v>27</v>
      </c>
      <c r="C39" s="17"/>
      <c r="D39" s="18"/>
      <c r="E39" s="18"/>
      <c r="F39" s="18">
        <f>F34/F37</f>
        <v>38.9390651849675</v>
      </c>
    </row>
    <row r="40" ht="20.05" customHeight="1">
      <c r="B40" t="s" s="10">
        <v>34</v>
      </c>
      <c r="C40" s="17"/>
      <c r="D40" s="18"/>
      <c r="E40" s="18"/>
      <c r="F40" s="18">
        <v>32</v>
      </c>
    </row>
    <row r="41" ht="20.05" customHeight="1">
      <c r="B41" t="s" s="10">
        <v>35</v>
      </c>
      <c r="C41" s="17"/>
      <c r="D41" s="18"/>
      <c r="E41" s="18"/>
      <c r="F41" s="18">
        <f>F37*F40</f>
        <v>9233.474286939490</v>
      </c>
    </row>
    <row r="42" ht="20.05" customHeight="1">
      <c r="B42" t="s" s="10">
        <v>36</v>
      </c>
      <c r="C42" s="17"/>
      <c r="D42" s="18"/>
      <c r="E42" s="18"/>
      <c r="F42" s="18">
        <f>157300/F44</f>
        <v>21.6219931271478</v>
      </c>
    </row>
    <row r="43" ht="20.05" customHeight="1">
      <c r="B43" t="s" s="10">
        <v>37</v>
      </c>
      <c r="C43" s="17"/>
      <c r="D43" s="18"/>
      <c r="E43" s="18"/>
      <c r="F43" s="18">
        <f>(F41/F42)*F32</f>
        <v>5978.571876190630</v>
      </c>
    </row>
    <row r="44" ht="20.05" customHeight="1">
      <c r="B44" t="s" s="10">
        <v>38</v>
      </c>
      <c r="C44" s="17"/>
      <c r="D44" s="18"/>
      <c r="E44" s="18"/>
      <c r="F44" s="18">
        <f>'Share price'!C74</f>
        <v>7275</v>
      </c>
    </row>
    <row r="45" ht="20.05" customHeight="1">
      <c r="B45" t="s" s="10">
        <v>39</v>
      </c>
      <c r="C45" s="17"/>
      <c r="D45" s="18"/>
      <c r="E45" s="18"/>
      <c r="F45" s="16">
        <f>F43/F44-1</f>
        <v>-0.178203178530498</v>
      </c>
    </row>
    <row r="46" ht="20.05" customHeight="1">
      <c r="B46" t="s" s="10">
        <v>40</v>
      </c>
      <c r="C46" s="17"/>
      <c r="D46" s="18"/>
      <c r="E46" s="18"/>
      <c r="F46" s="16">
        <f>'Sales'!C26/'Sales'!C22-1</f>
        <v>0.450351288056206</v>
      </c>
    </row>
    <row r="47" ht="20.05" customHeight="1">
      <c r="B47" t="s" s="10">
        <v>41</v>
      </c>
      <c r="C47" s="17"/>
      <c r="D47" s="18"/>
      <c r="E47" s="18"/>
      <c r="F47" s="16">
        <f>('Sales'!D23+'Sales'!D26+'Sales'!D24+'Sales'!D25)/('Sales'!C23+'Sales'!C24+'Sales'!C26+'Sales'!C25)-1</f>
        <v>-0.100872189153439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98438" style="26" customWidth="1"/>
    <col min="2" max="10" width="11.8438" style="26" customWidth="1"/>
    <col min="11" max="16384" width="16.3516" style="26" customWidth="1"/>
  </cols>
  <sheetData>
    <row r="1" ht="9.2" customHeight="1"/>
    <row r="2" ht="27.65" customHeight="1">
      <c r="B2" t="s" s="2">
        <v>18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5</v>
      </c>
      <c r="D3" t="s" s="4">
        <v>34</v>
      </c>
      <c r="E3" t="s" s="4">
        <v>23</v>
      </c>
      <c r="F3" t="s" s="4">
        <v>18</v>
      </c>
      <c r="G3" t="s" s="4">
        <v>42</v>
      </c>
      <c r="H3" t="s" s="4">
        <v>43</v>
      </c>
      <c r="I3" t="s" s="4">
        <v>44</v>
      </c>
      <c r="J3" t="s" s="4">
        <v>44</v>
      </c>
    </row>
    <row r="4" ht="20.25" customHeight="1">
      <c r="B4" s="27">
        <v>2016</v>
      </c>
      <c r="C4" s="28">
        <v>359</v>
      </c>
      <c r="D4" s="29"/>
      <c r="E4" s="29">
        <v>16</v>
      </c>
      <c r="F4" s="29">
        <v>35</v>
      </c>
      <c r="G4" s="9"/>
      <c r="H4" s="30">
        <f>(E4+F4-C4)/C4</f>
        <v>-0.857938718662953</v>
      </c>
      <c r="I4" s="8"/>
      <c r="J4" s="8"/>
    </row>
    <row r="5" ht="20.05" customHeight="1">
      <c r="B5" s="31"/>
      <c r="C5" s="17">
        <v>523</v>
      </c>
      <c r="D5" s="18"/>
      <c r="E5" s="18">
        <v>14</v>
      </c>
      <c r="F5" s="18">
        <v>97</v>
      </c>
      <c r="G5" s="16">
        <f>C5/C4-1</f>
        <v>0.456824512534819</v>
      </c>
      <c r="H5" s="16">
        <f>(E5+F5-C5)/C5</f>
        <v>-0.787762906309751</v>
      </c>
      <c r="I5" s="24"/>
      <c r="J5" s="24"/>
    </row>
    <row r="6" ht="20.05" customHeight="1">
      <c r="B6" s="31"/>
      <c r="C6" s="17">
        <v>516</v>
      </c>
      <c r="D6" s="18"/>
      <c r="E6" s="18">
        <v>30</v>
      </c>
      <c r="F6" s="18">
        <v>84</v>
      </c>
      <c r="G6" s="16">
        <f>C6/C5-1</f>
        <v>-0.0133843212237094</v>
      </c>
      <c r="H6" s="16">
        <f>(E6+F6-C6)/C6</f>
        <v>-0.77906976744186</v>
      </c>
      <c r="I6" s="24"/>
      <c r="J6" s="24"/>
    </row>
    <row r="7" ht="20.05" customHeight="1">
      <c r="B7" s="31"/>
      <c r="C7" s="17">
        <v>532</v>
      </c>
      <c r="D7" s="18"/>
      <c r="E7" s="18">
        <v>15</v>
      </c>
      <c r="F7" s="18">
        <v>84</v>
      </c>
      <c r="G7" s="16">
        <f>C7/C6-1</f>
        <v>0.0310077519379845</v>
      </c>
      <c r="H7" s="16">
        <f>(E7+F7-C7)/C7</f>
        <v>-0.81390977443609</v>
      </c>
      <c r="I7" s="24"/>
      <c r="J7" s="24"/>
    </row>
    <row r="8" ht="20.05" customHeight="1">
      <c r="B8" s="32">
        <v>2017</v>
      </c>
      <c r="C8" s="17">
        <v>633</v>
      </c>
      <c r="D8" s="18"/>
      <c r="E8" s="18">
        <v>20</v>
      </c>
      <c r="F8" s="18">
        <v>108</v>
      </c>
      <c r="G8" s="16">
        <f>C8/C7-1</f>
        <v>0.18984962406015</v>
      </c>
      <c r="H8" s="16">
        <f>(E8+F8-C8)/C8</f>
        <v>-0.797788309636651</v>
      </c>
      <c r="I8" s="16"/>
      <c r="J8" s="16">
        <f>('Cashflow'!D8+'Cashflow'!F8-'Cashflow'!C8)/'Cashflow'!C8</f>
        <v>-0.915619389587074</v>
      </c>
    </row>
    <row r="9" ht="20.05" customHeight="1">
      <c r="B9" s="31"/>
      <c r="C9" s="17">
        <v>562</v>
      </c>
      <c r="D9" s="18"/>
      <c r="E9" s="18">
        <v>19</v>
      </c>
      <c r="F9" s="18">
        <v>66</v>
      </c>
      <c r="G9" s="16">
        <f>C9/C8-1</f>
        <v>-0.11216429699842</v>
      </c>
      <c r="H9" s="16">
        <f>(E9+F9-C9)/C9</f>
        <v>-0.8487544483985771</v>
      </c>
      <c r="I9" s="16"/>
      <c r="J9" s="16">
        <f>('Cashflow'!D9+'Cashflow'!F9-'Cashflow'!C9)/'Cashflow'!C9</f>
        <v>-0.801996672212978</v>
      </c>
    </row>
    <row r="10" ht="20.05" customHeight="1">
      <c r="B10" s="31"/>
      <c r="C10" s="17">
        <v>603</v>
      </c>
      <c r="D10" s="18"/>
      <c r="E10" s="18">
        <v>21</v>
      </c>
      <c r="F10" s="18">
        <v>77</v>
      </c>
      <c r="G10" s="16">
        <f>C10/C9-1</f>
        <v>0.0729537366548043</v>
      </c>
      <c r="H10" s="16">
        <f>(E10+F10-C10)/C10</f>
        <v>-0.837479270315091</v>
      </c>
      <c r="I10" s="16"/>
      <c r="J10" s="16">
        <f>('Cashflow'!D10+'Cashflow'!F10-'Cashflow'!C10)/'Cashflow'!C10</f>
        <v>-0.806049822064057</v>
      </c>
    </row>
    <row r="11" ht="20.05" customHeight="1">
      <c r="B11" s="31"/>
      <c r="C11" s="17">
        <v>621</v>
      </c>
      <c r="D11" s="18"/>
      <c r="E11" s="18">
        <v>19</v>
      </c>
      <c r="F11" s="18">
        <v>68</v>
      </c>
      <c r="G11" s="16">
        <f>C11/C10-1</f>
        <v>0.0298507462686567</v>
      </c>
      <c r="H11" s="16">
        <f>(E11+F11-C11)/C11</f>
        <v>-0.859903381642512</v>
      </c>
      <c r="I11" s="16"/>
      <c r="J11" s="16">
        <f>('Cashflow'!D11+'Cashflow'!F11-'Cashflow'!C11)/'Cashflow'!C11</f>
        <v>-0.8593996840442339</v>
      </c>
    </row>
    <row r="12" ht="20.05" customHeight="1">
      <c r="B12" s="32">
        <v>2018</v>
      </c>
      <c r="C12" s="17">
        <v>695</v>
      </c>
      <c r="D12" s="18"/>
      <c r="E12" s="18">
        <v>19</v>
      </c>
      <c r="F12" s="18">
        <v>74</v>
      </c>
      <c r="G12" s="16">
        <f>C12/C11-1</f>
        <v>0.119162640901771</v>
      </c>
      <c r="H12" s="16">
        <f>(E12+F12-C12)/C12</f>
        <v>-0.866187050359712</v>
      </c>
      <c r="I12" s="16">
        <f>AVERAGE(J9:J12)</f>
        <v>-0.863508340407441</v>
      </c>
      <c r="J12" s="16">
        <f>('Cashflow'!D12+'Cashflow'!F12-'Cashflow'!C12)/'Cashflow'!C12</f>
        <v>-0.986587183308495</v>
      </c>
    </row>
    <row r="13" ht="20.05" customHeight="1">
      <c r="B13" s="31"/>
      <c r="C13" s="17">
        <v>591</v>
      </c>
      <c r="D13" s="18"/>
      <c r="E13" s="18">
        <v>19</v>
      </c>
      <c r="F13" s="18">
        <v>42</v>
      </c>
      <c r="G13" s="16">
        <f>C13/C12-1</f>
        <v>-0.149640287769784</v>
      </c>
      <c r="H13" s="16">
        <f>(E13+F13-C13)/C13</f>
        <v>-0.89678510998308</v>
      </c>
      <c r="I13" s="16">
        <f>AVERAGE(J10:J13)</f>
        <v>-0.877351486141835</v>
      </c>
      <c r="J13" s="16">
        <f>('Cashflow'!D13+'Cashflow'!F13-'Cashflow'!C13)/'Cashflow'!C13</f>
        <v>-0.857369255150555</v>
      </c>
    </row>
    <row r="14" ht="20.05" customHeight="1">
      <c r="B14" s="31"/>
      <c r="C14" s="17">
        <v>676</v>
      </c>
      <c r="D14" s="18"/>
      <c r="E14" s="18">
        <v>16</v>
      </c>
      <c r="F14" s="18">
        <v>58</v>
      </c>
      <c r="G14" s="16">
        <f>C14/C13-1</f>
        <v>0.143824027072758</v>
      </c>
      <c r="H14" s="16">
        <f>(E14+F14-C14)/C14</f>
        <v>-0.890532544378698</v>
      </c>
      <c r="I14" s="16">
        <f>AVERAGE(J11:J14)</f>
        <v>-0.911379365481224</v>
      </c>
      <c r="J14" s="16">
        <f>('Cashflow'!D14+'Cashflow'!F14-'Cashflow'!C14)/'Cashflow'!C14</f>
        <v>-0.942161339421613</v>
      </c>
    </row>
    <row r="15" ht="20.05" customHeight="1">
      <c r="B15" s="31"/>
      <c r="C15" s="17">
        <v>581</v>
      </c>
      <c r="D15" s="18"/>
      <c r="E15" s="18">
        <v>28</v>
      </c>
      <c r="F15" s="18">
        <v>8</v>
      </c>
      <c r="G15" s="16">
        <f>C15/C14-1</f>
        <v>-0.140532544378698</v>
      </c>
      <c r="H15" s="16">
        <f>(E15+F15-C15)/C15</f>
        <v>-0.938037865748709</v>
      </c>
      <c r="I15" s="16">
        <f>AVERAGE(J12:J15)</f>
        <v>-0.859641608767164</v>
      </c>
      <c r="J15" s="16">
        <f>('Cashflow'!D15+'Cashflow'!F15-'Cashflow'!C15)/'Cashflow'!C15</f>
        <v>-0.6524486571879941</v>
      </c>
    </row>
    <row r="16" ht="20.05" customHeight="1">
      <c r="B16" s="32">
        <v>2019</v>
      </c>
      <c r="C16" s="17">
        <v>552</v>
      </c>
      <c r="D16" s="18"/>
      <c r="E16" s="18">
        <v>17</v>
      </c>
      <c r="F16" s="18">
        <v>18</v>
      </c>
      <c r="G16" s="16">
        <f>C16/C15-1</f>
        <v>-0.0499139414802065</v>
      </c>
      <c r="H16" s="16">
        <f>(E16+F16-C16)/C16</f>
        <v>-0.936594202898551</v>
      </c>
      <c r="I16" s="16">
        <f>AVERAGE(J13:J16)</f>
        <v>-0.953111092009808</v>
      </c>
      <c r="J16" s="16">
        <f>('Cashflow'!D16+'Cashflow'!F16-'Cashflow'!C16)/'Cashflow'!C16</f>
        <v>-1.36046511627907</v>
      </c>
    </row>
    <row r="17" ht="20.05" customHeight="1">
      <c r="B17" s="31"/>
      <c r="C17" s="17">
        <v>502</v>
      </c>
      <c r="D17" s="18"/>
      <c r="E17" s="18">
        <v>25</v>
      </c>
      <c r="F17" s="18">
        <v>15</v>
      </c>
      <c r="G17" s="16">
        <f>C17/C16-1</f>
        <v>-0.09057971014492749</v>
      </c>
      <c r="H17" s="16">
        <f>(E17+F17-C17)/C17</f>
        <v>-0.920318725099602</v>
      </c>
      <c r="I17" s="16">
        <f>AVERAGE(J14:J17)</f>
        <v>-0.935132414585806</v>
      </c>
      <c r="J17" s="16">
        <f>('Cashflow'!D17+'Cashflow'!F17-'Cashflow'!C17)/'Cashflow'!C17</f>
        <v>-0.785454545454545</v>
      </c>
    </row>
    <row r="18" ht="20.05" customHeight="1">
      <c r="B18" s="31"/>
      <c r="C18" s="17">
        <v>334</v>
      </c>
      <c r="D18" s="18"/>
      <c r="E18" s="18">
        <v>21</v>
      </c>
      <c r="F18" s="18">
        <v>-1</v>
      </c>
      <c r="G18" s="16">
        <f>C18/C17-1</f>
        <v>-0.334661354581673</v>
      </c>
      <c r="H18" s="16">
        <f>(E18+F18-C18)/C18</f>
        <v>-0.940119760479042</v>
      </c>
      <c r="I18" s="16">
        <f>AVERAGE(J15:J18)</f>
        <v>-0.939826454730402</v>
      </c>
      <c r="J18" s="16">
        <f>('Cashflow'!D18+'Cashflow'!F18-'Cashflow'!C18)/'Cashflow'!C18</f>
        <v>-0.9609375</v>
      </c>
    </row>
    <row r="19" ht="20.05" customHeight="1">
      <c r="B19" s="31"/>
      <c r="C19" s="17">
        <v>493</v>
      </c>
      <c r="D19" s="18"/>
      <c r="E19" s="18">
        <v>25</v>
      </c>
      <c r="F19" s="18">
        <v>-8</v>
      </c>
      <c r="G19" s="16">
        <f>C19/C18-1</f>
        <v>0.476047904191617</v>
      </c>
      <c r="H19" s="16">
        <f>(E19+F19-C19)/C19</f>
        <v>-0.9655172413793101</v>
      </c>
      <c r="I19" s="16">
        <f>AVERAGE(J16:J19)</f>
        <v>-0.881129564896411</v>
      </c>
      <c r="J19" s="16">
        <f>('Cashflow'!D19+'Cashflow'!F19-'Cashflow'!C19)/'Cashflow'!C19</f>
        <v>-0.417661097852029</v>
      </c>
    </row>
    <row r="20" ht="20.05" customHeight="1">
      <c r="B20" s="32">
        <v>2020</v>
      </c>
      <c r="C20" s="17">
        <v>477</v>
      </c>
      <c r="D20" s="18"/>
      <c r="E20" s="18">
        <v>26</v>
      </c>
      <c r="F20" s="18">
        <v>-17</v>
      </c>
      <c r="G20" s="16">
        <f>C20/C19-1</f>
        <v>-0.0324543610547667</v>
      </c>
      <c r="H20" s="16">
        <f>(E20+F20-C20)/C20</f>
        <v>-0.981132075471698</v>
      </c>
      <c r="I20" s="16">
        <f>AVERAGE(J17:J20)</f>
        <v>-0.845775190588549</v>
      </c>
      <c r="J20" s="16">
        <f>('Cashflow'!D20+'Cashflow'!F20-'Cashflow'!C20)/'Cashflow'!C20</f>
        <v>-1.21904761904762</v>
      </c>
    </row>
    <row r="21" ht="20.05" customHeight="1">
      <c r="B21" s="31"/>
      <c r="C21" s="17">
        <v>364</v>
      </c>
      <c r="D21" s="18"/>
      <c r="E21" s="18">
        <v>25</v>
      </c>
      <c r="F21" s="18">
        <v>-13</v>
      </c>
      <c r="G21" s="16">
        <f>C21/C20-1</f>
        <v>-0.236897274633124</v>
      </c>
      <c r="H21" s="16">
        <f>(E21+F21-C21)/C21</f>
        <v>-0.967032967032967</v>
      </c>
      <c r="I21" s="16">
        <f>AVERAGE(J18:J21)</f>
        <v>-0.900596388348135</v>
      </c>
      <c r="J21" s="16">
        <f>('Cashflow'!D21+'Cashflow'!F21-'Cashflow'!C21)/'Cashflow'!C21</f>
        <v>-1.00473933649289</v>
      </c>
    </row>
    <row r="22" ht="20.05" customHeight="1">
      <c r="B22" s="31"/>
      <c r="C22" s="17">
        <v>427</v>
      </c>
      <c r="D22" s="18"/>
      <c r="E22" s="18">
        <v>25</v>
      </c>
      <c r="F22" s="18">
        <v>11</v>
      </c>
      <c r="G22" s="16">
        <f>C22/C21-1</f>
        <v>0.173076923076923</v>
      </c>
      <c r="H22" s="16">
        <f>(E22+F22-C22)/C22</f>
        <v>-0.915690866510539</v>
      </c>
      <c r="I22" s="16">
        <f>AVERAGE(J19:J22)</f>
        <v>-0.898516626814469</v>
      </c>
      <c r="J22" s="16">
        <f>('Cashflow'!D22+'Cashflow'!F22-'Cashflow'!C22)/'Cashflow'!C22</f>
        <v>-0.9526184538653369</v>
      </c>
    </row>
    <row r="23" ht="20.05" customHeight="1">
      <c r="B23" s="31"/>
      <c r="C23" s="17">
        <v>538</v>
      </c>
      <c r="D23" s="18">
        <v>448.35</v>
      </c>
      <c r="E23" s="18">
        <v>26</v>
      </c>
      <c r="F23" s="18">
        <v>70.5</v>
      </c>
      <c r="G23" s="16">
        <f>C23/C22-1</f>
        <v>0.259953161592506</v>
      </c>
      <c r="H23" s="16">
        <f>(E23+F23-C23)/C23</f>
        <v>-0.8206319702602231</v>
      </c>
      <c r="I23" s="16">
        <f>AVERAGE(J20:J23)</f>
        <v>-0.829672494636031</v>
      </c>
      <c r="J23" s="16">
        <f>('Cashflow'!D23+'Cashflow'!F23-'Cashflow'!C23)/'Cashflow'!C23</f>
        <v>-0.142284569138277</v>
      </c>
    </row>
    <row r="24" ht="20.05" customHeight="1">
      <c r="B24" s="32">
        <v>2021</v>
      </c>
      <c r="C24" s="22">
        <v>598</v>
      </c>
      <c r="D24" s="18">
        <v>548.76</v>
      </c>
      <c r="E24" s="18">
        <v>25</v>
      </c>
      <c r="F24" s="18">
        <v>85</v>
      </c>
      <c r="G24" s="16">
        <f>C24/C23-1</f>
        <v>0.111524163568773</v>
      </c>
      <c r="H24" s="16">
        <f>(E24+F24-C24)/C24</f>
        <v>-0.816053511705686</v>
      </c>
      <c r="I24" s="16">
        <f>AVERAGE(J21:J24)</f>
        <v>-0.831362202777351</v>
      </c>
      <c r="J24" s="16">
        <f>('Cashflow'!D24+'Cashflow'!F24-'Cashflow'!C24)/'Cashflow'!C24</f>
        <v>-1.2258064516129</v>
      </c>
    </row>
    <row r="25" ht="20.05" customHeight="1">
      <c r="B25" s="31"/>
      <c r="C25" s="17">
        <f>1261.9-C24</f>
        <v>663.9</v>
      </c>
      <c r="D25" s="20">
        <v>586.04</v>
      </c>
      <c r="E25" s="18">
        <f>51.3-E24</f>
        <v>26.3</v>
      </c>
      <c r="F25" s="18">
        <f>164.6-F24</f>
        <v>79.59999999999999</v>
      </c>
      <c r="G25" s="16">
        <f>C25/C24-1</f>
        <v>0.110200668896321</v>
      </c>
      <c r="H25" s="16">
        <f>(E25+F25-C25)/C25</f>
        <v>-0.840488025305016</v>
      </c>
      <c r="I25" s="16">
        <f>AVERAGE(J22:J25)</f>
        <v>-0.841375031750526</v>
      </c>
      <c r="J25" s="16">
        <f>('Cashflow'!D25+'Cashflow'!F25-'Cashflow'!C25)/'Cashflow'!C25</f>
        <v>-1.04479065238559</v>
      </c>
    </row>
    <row r="26" ht="20.05" customHeight="1">
      <c r="B26" s="31"/>
      <c r="C26" s="17">
        <f>1881.2-SUM(C24:C25)</f>
        <v>619.3</v>
      </c>
      <c r="D26" s="23">
        <v>592.02</v>
      </c>
      <c r="E26" s="18">
        <f>1.3+77.4-SUM(E24:E25)</f>
        <v>27.4</v>
      </c>
      <c r="F26" s="18">
        <f>165.7-SUM(F24:F25)</f>
        <v>1.1</v>
      </c>
      <c r="G26" s="16">
        <f>C26/C25-1</f>
        <v>-0.06717879198674501</v>
      </c>
      <c r="H26" s="16">
        <f>(E26+F26-C26)/C26</f>
        <v>-0.953980300339093</v>
      </c>
      <c r="I26" s="16">
        <f>AVERAGE(J23:J26)</f>
        <v>-0.83453136086274</v>
      </c>
      <c r="J26" s="16">
        <f>('Cashflow'!D26+'Cashflow'!F26-'Cashflow'!C26)/'Cashflow'!C26</f>
        <v>-0.925243770314193</v>
      </c>
    </row>
    <row r="27" ht="20.05" customHeight="1">
      <c r="B27" s="31"/>
      <c r="C27" s="17"/>
      <c r="D27" s="23">
        <f>'Model'!C6</f>
        <v>662.651</v>
      </c>
      <c r="E27" s="18"/>
      <c r="F27" s="18"/>
      <c r="G27" s="12"/>
      <c r="H27" s="12">
        <f>'Model'!C7</f>
        <v>-0.83453136086274</v>
      </c>
      <c r="I27" s="24"/>
      <c r="J27" s="24"/>
    </row>
    <row r="28" ht="20.05" customHeight="1">
      <c r="B28" s="32">
        <v>2022</v>
      </c>
      <c r="C28" s="17"/>
      <c r="D28" s="18">
        <f>'Model'!D6</f>
        <v>662.651</v>
      </c>
      <c r="E28" s="18"/>
      <c r="F28" s="18"/>
      <c r="G28" s="12"/>
      <c r="H28" s="12"/>
      <c r="I28" s="12"/>
      <c r="J28" s="12"/>
    </row>
    <row r="29" ht="20.05" customHeight="1">
      <c r="B29" s="31"/>
      <c r="C29" s="17"/>
      <c r="D29" s="18">
        <f>'Model'!E6</f>
        <v>662.651</v>
      </c>
      <c r="E29" s="18"/>
      <c r="F29" s="18"/>
      <c r="G29" s="12"/>
      <c r="H29" s="12"/>
      <c r="I29" s="12"/>
      <c r="J29" s="12"/>
    </row>
    <row r="30" ht="20.05" customHeight="1">
      <c r="B30" s="31"/>
      <c r="C30" s="17"/>
      <c r="D30" s="18">
        <f>'Model'!F6</f>
        <v>748.79563</v>
      </c>
      <c r="E30" s="18"/>
      <c r="F30" s="18"/>
      <c r="G30" s="12"/>
      <c r="H30" s="12"/>
      <c r="I30" s="12"/>
      <c r="J30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L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4375" style="33" customWidth="1"/>
    <col min="2" max="2" width="8.23438" style="33" customWidth="1"/>
    <col min="3" max="12" width="11.4062" style="33" customWidth="1"/>
    <col min="13" max="16384" width="16.3516" style="33" customWidth="1"/>
  </cols>
  <sheetData>
    <row r="1" ht="31.2" customHeight="1"/>
    <row r="2" ht="27.65" customHeight="1">
      <c r="B2" t="s" s="2">
        <v>45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46</v>
      </c>
      <c r="D3" t="s" s="4">
        <v>8</v>
      </c>
      <c r="E3" t="s" s="4">
        <v>47</v>
      </c>
      <c r="F3" t="s" s="4">
        <v>48</v>
      </c>
      <c r="G3" t="s" s="4">
        <v>11</v>
      </c>
      <c r="H3" t="s" s="4">
        <v>12</v>
      </c>
      <c r="I3" t="s" s="4">
        <v>10</v>
      </c>
      <c r="J3" t="s" s="4">
        <v>49</v>
      </c>
      <c r="K3" t="s" s="4">
        <v>3</v>
      </c>
      <c r="L3" t="s" s="4">
        <v>50</v>
      </c>
    </row>
    <row r="4" ht="20.25" customHeight="1">
      <c r="B4" s="27">
        <v>2016</v>
      </c>
      <c r="C4" s="28">
        <v>301</v>
      </c>
      <c r="D4" s="29">
        <v>109</v>
      </c>
      <c r="E4" s="29">
        <v>-28</v>
      </c>
      <c r="F4" s="29">
        <v>-8</v>
      </c>
      <c r="G4" s="29"/>
      <c r="H4" s="29"/>
      <c r="I4" s="29">
        <v>-35</v>
      </c>
      <c r="J4" s="29">
        <f>D4+E4-F4</f>
        <v>89</v>
      </c>
      <c r="K4" s="29"/>
      <c r="L4" s="29">
        <f>-(I4-F4)</f>
        <v>27</v>
      </c>
    </row>
    <row r="5" ht="20.05" customHeight="1">
      <c r="B5" s="31"/>
      <c r="C5" s="17">
        <v>488</v>
      </c>
      <c r="D5" s="18">
        <v>89</v>
      </c>
      <c r="E5" s="18">
        <v>1</v>
      </c>
      <c r="F5" s="18">
        <v>-7</v>
      </c>
      <c r="G5" s="18"/>
      <c r="H5" s="18"/>
      <c r="I5" s="18">
        <v>-77</v>
      </c>
      <c r="J5" s="18">
        <f>D5+E5-F5</f>
        <v>97</v>
      </c>
      <c r="K5" s="18"/>
      <c r="L5" s="18">
        <f>-(I5-F5)+L4</f>
        <v>97</v>
      </c>
    </row>
    <row r="6" ht="20.05" customHeight="1">
      <c r="B6" s="31"/>
      <c r="C6" s="17">
        <v>515</v>
      </c>
      <c r="D6" s="18">
        <v>150</v>
      </c>
      <c r="E6" s="18">
        <v>-13</v>
      </c>
      <c r="F6" s="18">
        <v>-5</v>
      </c>
      <c r="G6" s="18"/>
      <c r="H6" s="18"/>
      <c r="I6" s="18">
        <v>-94</v>
      </c>
      <c r="J6" s="18">
        <f>D6+E6-F6</f>
        <v>142</v>
      </c>
      <c r="K6" s="18"/>
      <c r="L6" s="18">
        <f>-(I6-F6)+L5</f>
        <v>186</v>
      </c>
    </row>
    <row r="7" ht="20.05" customHeight="1">
      <c r="B7" s="31"/>
      <c r="C7" s="17">
        <v>539</v>
      </c>
      <c r="D7" s="18">
        <v>128</v>
      </c>
      <c r="E7" s="18">
        <v>-29</v>
      </c>
      <c r="F7" s="18">
        <v>-8</v>
      </c>
      <c r="G7" s="18"/>
      <c r="H7" s="18"/>
      <c r="I7" s="18">
        <v>1</v>
      </c>
      <c r="J7" s="18">
        <f>D7+E7-F7</f>
        <v>107</v>
      </c>
      <c r="K7" s="18"/>
      <c r="L7" s="18">
        <f>-(I7-F7)+L6</f>
        <v>177</v>
      </c>
    </row>
    <row r="8" ht="20.05" customHeight="1">
      <c r="B8" s="32">
        <v>2017</v>
      </c>
      <c r="C8" s="17">
        <v>557</v>
      </c>
      <c r="D8" s="18">
        <v>55</v>
      </c>
      <c r="E8" s="18">
        <v>-25</v>
      </c>
      <c r="F8" s="18">
        <v>-8</v>
      </c>
      <c r="G8" s="18"/>
      <c r="H8" s="18"/>
      <c r="I8" s="18">
        <v>-51</v>
      </c>
      <c r="J8" s="18">
        <f>D8+E8-F8</f>
        <v>38</v>
      </c>
      <c r="K8" s="18">
        <f>AVERAGE(J5:J8)</f>
        <v>96</v>
      </c>
      <c r="L8" s="18">
        <f>-(I8-F8)+L7</f>
        <v>220</v>
      </c>
    </row>
    <row r="9" ht="20.05" customHeight="1">
      <c r="B9" s="31"/>
      <c r="C9" s="17">
        <v>601</v>
      </c>
      <c r="D9" s="18">
        <v>125</v>
      </c>
      <c r="E9" s="18">
        <v>-55</v>
      </c>
      <c r="F9" s="18">
        <v>-6</v>
      </c>
      <c r="G9" s="18"/>
      <c r="H9" s="18"/>
      <c r="I9" s="18">
        <v>-135</v>
      </c>
      <c r="J9" s="18">
        <f>D9+E9-F9</f>
        <v>76</v>
      </c>
      <c r="K9" s="18">
        <f>AVERAGE(J6:J9)</f>
        <v>90.75</v>
      </c>
      <c r="L9" s="18">
        <f>-(I9-F9)+L8</f>
        <v>349</v>
      </c>
    </row>
    <row r="10" ht="20.05" customHeight="1">
      <c r="B10" s="31"/>
      <c r="C10" s="17">
        <v>562</v>
      </c>
      <c r="D10" s="18">
        <v>115</v>
      </c>
      <c r="E10" s="18">
        <v>-41</v>
      </c>
      <c r="F10" s="18">
        <v>-6</v>
      </c>
      <c r="G10" s="18"/>
      <c r="H10" s="18"/>
      <c r="I10" s="18">
        <v>25</v>
      </c>
      <c r="J10" s="18">
        <f>D10+E10-F10</f>
        <v>80</v>
      </c>
      <c r="K10" s="18">
        <f>AVERAGE(J7:J10)</f>
        <v>75.25</v>
      </c>
      <c r="L10" s="18">
        <f>-(I10-F10)+L9</f>
        <v>318</v>
      </c>
    </row>
    <row r="11" ht="20.05" customHeight="1">
      <c r="B11" s="31"/>
      <c r="C11" s="17">
        <v>633</v>
      </c>
      <c r="D11" s="18">
        <v>99</v>
      </c>
      <c r="E11" s="18">
        <v>-108</v>
      </c>
      <c r="F11" s="18">
        <v>-10</v>
      </c>
      <c r="G11" s="18"/>
      <c r="H11" s="18"/>
      <c r="I11" s="18">
        <v>539</v>
      </c>
      <c r="J11" s="18">
        <f>D11+E11-F11</f>
        <v>1</v>
      </c>
      <c r="K11" s="18">
        <f>AVERAGE(J8:J11)</f>
        <v>48.75</v>
      </c>
      <c r="L11" s="18">
        <f>-(I11-F11)+L10</f>
        <v>-231</v>
      </c>
    </row>
    <row r="12" ht="20.05" customHeight="1">
      <c r="B12" s="32">
        <v>2018</v>
      </c>
      <c r="C12" s="17">
        <v>671</v>
      </c>
      <c r="D12" s="18">
        <v>18</v>
      </c>
      <c r="E12" s="18">
        <v>-76</v>
      </c>
      <c r="F12" s="18">
        <v>-9</v>
      </c>
      <c r="G12" s="18">
        <v>-5.28175</v>
      </c>
      <c r="H12" s="18">
        <v>-20.41475</v>
      </c>
      <c r="I12" s="18">
        <v>-21</v>
      </c>
      <c r="J12" s="18">
        <f>D12+E12-F12</f>
        <v>-49</v>
      </c>
      <c r="K12" s="18">
        <f>AVERAGE(J9:J12)</f>
        <v>27</v>
      </c>
      <c r="L12" s="18">
        <f>-(G12+H12)+L11</f>
        <v>-205.3035</v>
      </c>
    </row>
    <row r="13" ht="20.05" customHeight="1">
      <c r="B13" s="31"/>
      <c r="C13" s="17">
        <v>631</v>
      </c>
      <c r="D13" s="18">
        <v>104</v>
      </c>
      <c r="E13" s="18">
        <v>-75</v>
      </c>
      <c r="F13" s="18">
        <v>-14</v>
      </c>
      <c r="G13" s="18">
        <v>-5.28175</v>
      </c>
      <c r="H13" s="18">
        <v>-20.41475</v>
      </c>
      <c r="I13" s="18">
        <v>-78</v>
      </c>
      <c r="J13" s="18">
        <f>D13+E13-F13</f>
        <v>43</v>
      </c>
      <c r="K13" s="18">
        <f>AVERAGE(J10:J13)</f>
        <v>18.75</v>
      </c>
      <c r="L13" s="18">
        <f>-(G13+H13)+L12</f>
        <v>-179.607</v>
      </c>
    </row>
    <row r="14" ht="20.05" customHeight="1">
      <c r="B14" s="31"/>
      <c r="C14" s="17">
        <v>657</v>
      </c>
      <c r="D14" s="18">
        <v>43</v>
      </c>
      <c r="E14" s="18">
        <v>-41</v>
      </c>
      <c r="F14" s="18">
        <v>-5</v>
      </c>
      <c r="G14" s="18">
        <v>-5.28175</v>
      </c>
      <c r="H14" s="18">
        <v>-20.41475</v>
      </c>
      <c r="I14" s="18">
        <v>-29</v>
      </c>
      <c r="J14" s="18">
        <f>D14+E14-F14</f>
        <v>7</v>
      </c>
      <c r="K14" s="18">
        <f>AVERAGE(J11:J14)</f>
        <v>0.5</v>
      </c>
      <c r="L14" s="18">
        <f>-(G14+H14)+L13</f>
        <v>-153.9105</v>
      </c>
    </row>
    <row r="15" ht="20.05" customHeight="1">
      <c r="B15" s="31"/>
      <c r="C15" s="17">
        <v>633</v>
      </c>
      <c r="D15" s="18">
        <v>239</v>
      </c>
      <c r="E15" s="18">
        <v>-178</v>
      </c>
      <c r="F15" s="18">
        <v>-19</v>
      </c>
      <c r="G15" s="18">
        <v>-5.28175</v>
      </c>
      <c r="H15" s="18">
        <v>-20.41475</v>
      </c>
      <c r="I15" s="18">
        <v>-22</v>
      </c>
      <c r="J15" s="18">
        <f>D15+E15-F15</f>
        <v>80</v>
      </c>
      <c r="K15" s="18">
        <f>AVERAGE(J12:J15)</f>
        <v>20.25</v>
      </c>
      <c r="L15" s="18">
        <f>-(G15+H15)+L14</f>
        <v>-128.214</v>
      </c>
    </row>
    <row r="16" ht="20.05" customHeight="1">
      <c r="B16" s="32">
        <v>2019</v>
      </c>
      <c r="C16" s="17">
        <v>516</v>
      </c>
      <c r="D16" s="18">
        <v>-177</v>
      </c>
      <c r="E16" s="18">
        <v>-65</v>
      </c>
      <c r="F16" s="18">
        <v>-9</v>
      </c>
      <c r="G16" s="18">
        <v>46.86075</v>
      </c>
      <c r="H16" s="18">
        <v>-8.3155</v>
      </c>
      <c r="I16" s="18">
        <v>64</v>
      </c>
      <c r="J16" s="18">
        <f>D16+E16-F16</f>
        <v>-233</v>
      </c>
      <c r="K16" s="18">
        <f>AVERAGE(J13:J16)</f>
        <v>-25.75</v>
      </c>
      <c r="L16" s="18">
        <f>-(G16+H16)+L15</f>
        <v>-166.75925</v>
      </c>
    </row>
    <row r="17" ht="20.05" customHeight="1">
      <c r="B17" s="31"/>
      <c r="C17" s="17">
        <v>550</v>
      </c>
      <c r="D17" s="18">
        <v>135</v>
      </c>
      <c r="E17" s="18">
        <v>-79</v>
      </c>
      <c r="F17" s="18">
        <v>-17</v>
      </c>
      <c r="G17" s="18">
        <v>46.86075</v>
      </c>
      <c r="H17" s="18">
        <v>-8.3155</v>
      </c>
      <c r="I17" s="18">
        <v>44</v>
      </c>
      <c r="J17" s="18">
        <f>D17+E17-F17</f>
        <v>73</v>
      </c>
      <c r="K17" s="18">
        <f>AVERAGE(J14:J17)</f>
        <v>-18.25</v>
      </c>
      <c r="L17" s="18">
        <f>-(G17+H17)+L16</f>
        <v>-205.3045</v>
      </c>
    </row>
    <row r="18" ht="20.05" customHeight="1">
      <c r="B18" s="31"/>
      <c r="C18" s="17">
        <v>384</v>
      </c>
      <c r="D18" s="18">
        <v>24</v>
      </c>
      <c r="E18" s="18">
        <v>-147</v>
      </c>
      <c r="F18" s="18">
        <v>-9</v>
      </c>
      <c r="G18" s="18">
        <v>46.86075</v>
      </c>
      <c r="H18" s="18">
        <v>-8.3155</v>
      </c>
      <c r="I18" s="18">
        <v>43</v>
      </c>
      <c r="J18" s="18">
        <f>D18+E18-F18</f>
        <v>-114</v>
      </c>
      <c r="K18" s="18">
        <f>AVERAGE(J15:J18)</f>
        <v>-48.5</v>
      </c>
      <c r="L18" s="18">
        <f>-(G18+H18)+L17</f>
        <v>-243.84975</v>
      </c>
    </row>
    <row r="19" ht="20.05" customHeight="1">
      <c r="B19" s="31"/>
      <c r="C19" s="17">
        <v>419</v>
      </c>
      <c r="D19" s="18">
        <v>256</v>
      </c>
      <c r="E19" s="18">
        <v>-121</v>
      </c>
      <c r="F19" s="18">
        <v>-12</v>
      </c>
      <c r="G19" s="18">
        <v>46.86075</v>
      </c>
      <c r="H19" s="18">
        <v>-8.3155</v>
      </c>
      <c r="I19" s="18">
        <v>-44</v>
      </c>
      <c r="J19" s="18">
        <f>D19+E19-F19</f>
        <v>147</v>
      </c>
      <c r="K19" s="18">
        <f>AVERAGE(J16:J19)</f>
        <v>-31.75</v>
      </c>
      <c r="L19" s="18">
        <f>-(G19+H19)+L18</f>
        <v>-282.395</v>
      </c>
    </row>
    <row r="20" ht="20.05" customHeight="1">
      <c r="B20" s="32">
        <v>2020</v>
      </c>
      <c r="C20" s="17">
        <v>525</v>
      </c>
      <c r="D20" s="18">
        <v>-102</v>
      </c>
      <c r="E20" s="18">
        <v>-38</v>
      </c>
      <c r="F20" s="18">
        <v>-13</v>
      </c>
      <c r="G20" s="18">
        <v>10.30775</v>
      </c>
      <c r="H20" s="18">
        <v>-0.32</v>
      </c>
      <c r="I20" s="18">
        <v>103</v>
      </c>
      <c r="J20" s="18">
        <f>D20+E20-F20</f>
        <v>-127</v>
      </c>
      <c r="K20" s="18">
        <f>AVERAGE(J17:J20)</f>
        <v>-5.25</v>
      </c>
      <c r="L20" s="18">
        <f>-(G20+H20)+L19</f>
        <v>-292.38275</v>
      </c>
    </row>
    <row r="21" ht="20.05" customHeight="1">
      <c r="B21" s="31"/>
      <c r="C21" s="17">
        <v>422</v>
      </c>
      <c r="D21" s="18">
        <v>15</v>
      </c>
      <c r="E21" s="18">
        <v>-16</v>
      </c>
      <c r="F21" s="18">
        <v>-17</v>
      </c>
      <c r="G21" s="18">
        <v>10.30775</v>
      </c>
      <c r="H21" s="18">
        <v>-0.32</v>
      </c>
      <c r="I21" s="18">
        <v>26</v>
      </c>
      <c r="J21" s="18">
        <f>D21+E21-F21</f>
        <v>16</v>
      </c>
      <c r="K21" s="18">
        <f>AVERAGE(J18:J21)</f>
        <v>-19.5</v>
      </c>
      <c r="L21" s="18">
        <f>-(G21+H21)+L20</f>
        <v>-302.3705</v>
      </c>
    </row>
    <row r="22" ht="20.05" customHeight="1">
      <c r="B22" s="31"/>
      <c r="C22" s="17">
        <v>401</v>
      </c>
      <c r="D22" s="18">
        <v>24</v>
      </c>
      <c r="E22" s="18">
        <v>-54</v>
      </c>
      <c r="F22" s="18">
        <v>-5</v>
      </c>
      <c r="G22" s="18">
        <v>10.30775</v>
      </c>
      <c r="H22" s="18">
        <v>-0.32</v>
      </c>
      <c r="I22" s="18">
        <v>-101</v>
      </c>
      <c r="J22" s="18">
        <f>D22+E22-F22</f>
        <v>-25</v>
      </c>
      <c r="K22" s="18">
        <f>AVERAGE(J19:J22)</f>
        <v>2.75</v>
      </c>
      <c r="L22" s="18">
        <f>-(G22+H22)+L21</f>
        <v>-312.35825</v>
      </c>
    </row>
    <row r="23" ht="20.05" customHeight="1">
      <c r="B23" s="31"/>
      <c r="C23" s="17">
        <v>499</v>
      </c>
      <c r="D23" s="18">
        <v>451</v>
      </c>
      <c r="E23" s="18">
        <v>-4</v>
      </c>
      <c r="F23" s="18">
        <v>-23</v>
      </c>
      <c r="G23" s="18">
        <v>10.30775</v>
      </c>
      <c r="H23" s="18">
        <v>-0.32</v>
      </c>
      <c r="I23" s="18">
        <v>-46</v>
      </c>
      <c r="J23" s="18">
        <f>D23+E23-F23</f>
        <v>470</v>
      </c>
      <c r="K23" s="18">
        <f>AVERAGE(J20:J23)</f>
        <v>83.5</v>
      </c>
      <c r="L23" s="18">
        <f>-(G23+H23)+L22</f>
        <v>-322.346</v>
      </c>
    </row>
    <row r="24" ht="20.05" customHeight="1">
      <c r="B24" s="32">
        <v>2021</v>
      </c>
      <c r="C24" s="17">
        <v>589</v>
      </c>
      <c r="D24" s="18">
        <v>-119</v>
      </c>
      <c r="E24" s="18">
        <v>-10</v>
      </c>
      <c r="F24" s="18">
        <v>-14</v>
      </c>
      <c r="G24" s="20">
        <f>-22.424-F24</f>
        <v>-8.423999999999999</v>
      </c>
      <c r="H24" s="20"/>
      <c r="I24" s="23">
        <v>-22</v>
      </c>
      <c r="J24" s="18">
        <f>D24+E24-F24</f>
        <v>-115</v>
      </c>
      <c r="K24" s="18">
        <f>AVERAGE(J21:J24)</f>
        <v>86.5</v>
      </c>
      <c r="L24" s="18">
        <f>-(G24+H24)+L23</f>
        <v>-313.922</v>
      </c>
    </row>
    <row r="25" ht="20.05" customHeight="1">
      <c r="B25" s="31"/>
      <c r="C25" s="17">
        <f>1205.2-C24</f>
        <v>616.2</v>
      </c>
      <c r="D25" s="18">
        <f>-130.8-D24</f>
        <v>-11.8</v>
      </c>
      <c r="E25" s="18">
        <f>-17.5-E24</f>
        <v>-7.5</v>
      </c>
      <c r="F25" s="18">
        <f>-29.8-F24</f>
        <v>-15.8</v>
      </c>
      <c r="G25" s="18">
        <f>-8.592-H25-H24-G24-F25-F24</f>
        <v>68.145</v>
      </c>
      <c r="H25" s="18">
        <f>-38.513-H24</f>
        <v>-38.513</v>
      </c>
      <c r="I25" s="18">
        <f>-8.6-I24</f>
        <v>13.4</v>
      </c>
      <c r="J25" s="18">
        <f>D25+E25-F25</f>
        <v>-3.5</v>
      </c>
      <c r="K25" s="18">
        <f>AVERAGE(J22:J25)</f>
        <v>81.625</v>
      </c>
      <c r="L25" s="18">
        <f>-(G25+H25)+L24</f>
        <v>-343.554</v>
      </c>
    </row>
    <row r="26" ht="20.05" customHeight="1">
      <c r="B26" s="31"/>
      <c r="C26" s="17">
        <f>1851.3-SUM(C24:C25)</f>
        <v>646.1</v>
      </c>
      <c r="D26" s="18">
        <f>-69.9-SUM(D24:D25)</f>
        <v>60.9</v>
      </c>
      <c r="E26" s="18">
        <f>-160.3-SUM(E24:E25)</f>
        <v>-142.8</v>
      </c>
      <c r="F26" s="18">
        <f>-42.4-SUM(F24:F25)</f>
        <v>-12.6</v>
      </c>
      <c r="G26" s="18">
        <f>998.412-H26-H25-H24-G25-G24-F26-F25-F24</f>
        <v>16.49</v>
      </c>
      <c r="H26" s="18">
        <f>-103.799+1068.4-H25-H24</f>
        <v>1003.114</v>
      </c>
      <c r="I26" s="18">
        <f>998.4-SUM(I24:I25)</f>
        <v>1007</v>
      </c>
      <c r="J26" s="18">
        <f>D26+E26-F26</f>
        <v>-69.3</v>
      </c>
      <c r="K26" s="18">
        <f>AVERAGE(J23:J26)</f>
        <v>70.55</v>
      </c>
      <c r="L26" s="18">
        <f>-(G26+H26)+L25</f>
        <v>-1363.158</v>
      </c>
    </row>
    <row r="27" ht="20.05" customHeight="1">
      <c r="B27" s="31"/>
      <c r="C27" s="17"/>
      <c r="D27" s="18"/>
      <c r="E27" s="18"/>
      <c r="F27" s="18"/>
      <c r="G27" s="18"/>
      <c r="H27" s="18"/>
      <c r="I27" s="18"/>
      <c r="J27" s="18"/>
      <c r="K27" s="18">
        <f>SUM('Model'!F9:F10)</f>
        <v>82.827193888027</v>
      </c>
      <c r="L27" s="18">
        <f>'Model'!F33</f>
        <v>-1074.611928533150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1.1094" style="34" customWidth="1"/>
    <col min="11" max="16384" width="16.3516" style="34" customWidth="1"/>
  </cols>
  <sheetData>
    <row r="1" ht="27.65" customHeight="1">
      <c r="A1" t="s" s="2">
        <v>21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4">
        <v>1</v>
      </c>
      <c r="B2" t="s" s="4">
        <v>51</v>
      </c>
      <c r="C2" t="s" s="4">
        <v>52</v>
      </c>
      <c r="D2" t="s" s="4">
        <v>22</v>
      </c>
      <c r="E2" t="s" s="4">
        <v>23</v>
      </c>
      <c r="F2" t="s" s="4">
        <v>11</v>
      </c>
      <c r="G2" t="s" s="4">
        <v>12</v>
      </c>
      <c r="H2" t="s" s="4">
        <v>25</v>
      </c>
      <c r="I2" t="s" s="4">
        <v>26</v>
      </c>
      <c r="J2" t="s" s="4">
        <v>34</v>
      </c>
    </row>
    <row r="3" ht="20.25" customHeight="1">
      <c r="A3" s="27">
        <v>2016</v>
      </c>
      <c r="B3" s="28">
        <v>141</v>
      </c>
      <c r="C3" s="29">
        <v>1942</v>
      </c>
      <c r="D3" s="29">
        <f>C3-B3</f>
        <v>1801</v>
      </c>
      <c r="E3" s="29">
        <f>'Sales'!E4</f>
        <v>16</v>
      </c>
      <c r="F3" s="29">
        <v>1020</v>
      </c>
      <c r="G3" s="29">
        <v>922</v>
      </c>
      <c r="H3" s="29">
        <f>F3+G3-B3-D3</f>
        <v>0</v>
      </c>
      <c r="I3" s="29">
        <f>B3-F3</f>
        <v>-879</v>
      </c>
      <c r="J3" s="29"/>
    </row>
    <row r="4" ht="20.05" customHeight="1">
      <c r="A4" s="31"/>
      <c r="B4" s="17">
        <v>155</v>
      </c>
      <c r="C4" s="18">
        <v>1975</v>
      </c>
      <c r="D4" s="18">
        <f>C4-B4</f>
        <v>1820</v>
      </c>
      <c r="E4" s="18">
        <f>E3+'Sales'!E5</f>
        <v>30</v>
      </c>
      <c r="F4" s="18">
        <v>969</v>
      </c>
      <c r="G4" s="18">
        <v>1006</v>
      </c>
      <c r="H4" s="18">
        <f>F4+G4-B4-D4</f>
        <v>0</v>
      </c>
      <c r="I4" s="18">
        <f>B4-F4</f>
        <v>-814</v>
      </c>
      <c r="J4" s="18"/>
    </row>
    <row r="5" ht="20.05" customHeight="1">
      <c r="A5" s="31"/>
      <c r="B5" s="17">
        <v>198</v>
      </c>
      <c r="C5" s="18">
        <v>2035</v>
      </c>
      <c r="D5" s="18">
        <f>C5-B5</f>
        <v>1837</v>
      </c>
      <c r="E5" s="18">
        <f>E4+'Sales'!E6</f>
        <v>60</v>
      </c>
      <c r="F5" s="18">
        <v>977</v>
      </c>
      <c r="G5" s="18">
        <v>1058</v>
      </c>
      <c r="H5" s="18">
        <f>F5+G5-B5-D5</f>
        <v>0</v>
      </c>
      <c r="I5" s="18">
        <f>B5-F5</f>
        <v>-779</v>
      </c>
      <c r="J5" s="18"/>
    </row>
    <row r="6" ht="20.05" customHeight="1">
      <c r="A6" s="31"/>
      <c r="B6" s="17">
        <v>299</v>
      </c>
      <c r="C6" s="18">
        <v>2129</v>
      </c>
      <c r="D6" s="18">
        <f>C6-B6</f>
        <v>1830</v>
      </c>
      <c r="E6" s="18">
        <f>E5+'Sales'!E7</f>
        <v>75</v>
      </c>
      <c r="F6" s="18">
        <v>988</v>
      </c>
      <c r="G6" s="18">
        <v>1142</v>
      </c>
      <c r="H6" s="18">
        <f>F6+G6-B6-D6</f>
        <v>1</v>
      </c>
      <c r="I6" s="18">
        <f>B6-F6</f>
        <v>-689</v>
      </c>
      <c r="J6" s="18"/>
    </row>
    <row r="7" ht="20.05" customHeight="1">
      <c r="A7" s="32">
        <v>2017</v>
      </c>
      <c r="B7" s="17"/>
      <c r="C7" s="18"/>
      <c r="D7" s="18">
        <f>C7-B7</f>
        <v>0</v>
      </c>
      <c r="E7" s="18">
        <f>E6+'Sales'!E8</f>
        <v>95</v>
      </c>
      <c r="F7" s="18"/>
      <c r="G7" s="18"/>
      <c r="H7" s="18">
        <f>F7+G7-B7-D7</f>
        <v>0</v>
      </c>
      <c r="I7" s="23"/>
      <c r="J7" s="23"/>
    </row>
    <row r="8" ht="20.05" customHeight="1">
      <c r="A8" s="31"/>
      <c r="B8" s="17">
        <v>212</v>
      </c>
      <c r="C8" s="18">
        <v>2151</v>
      </c>
      <c r="D8" s="18">
        <f>C8-B8</f>
        <v>1939</v>
      </c>
      <c r="E8" s="18">
        <f>E7+'Sales'!E9</f>
        <v>114</v>
      </c>
      <c r="F8" s="18">
        <v>954</v>
      </c>
      <c r="G8" s="18">
        <v>1197</v>
      </c>
      <c r="H8" s="18">
        <f>F8+G8-B8-D8</f>
        <v>0</v>
      </c>
      <c r="I8" s="18">
        <f>B8-F8</f>
        <v>-742</v>
      </c>
      <c r="J8" s="18"/>
    </row>
    <row r="9" ht="20.05" customHeight="1">
      <c r="A9" s="31"/>
      <c r="B9" s="17">
        <v>633</v>
      </c>
      <c r="C9" s="18">
        <v>2814</v>
      </c>
      <c r="D9" s="18">
        <f>C9-B9</f>
        <v>2181</v>
      </c>
      <c r="E9" s="18">
        <f>E8+'Sales'!E10</f>
        <v>135</v>
      </c>
      <c r="F9" s="18">
        <v>970</v>
      </c>
      <c r="G9" s="18">
        <v>1844</v>
      </c>
      <c r="H9" s="18">
        <f>F9+G9-B9-D9</f>
        <v>0</v>
      </c>
      <c r="I9" s="18">
        <f>B9-F9</f>
        <v>-337</v>
      </c>
      <c r="J9" s="18"/>
    </row>
    <row r="10" ht="20.05" customHeight="1">
      <c r="A10" s="31"/>
      <c r="B10" s="17">
        <v>843</v>
      </c>
      <c r="C10" s="18">
        <v>2987</v>
      </c>
      <c r="D10" s="18">
        <f>C10-B10</f>
        <v>2144</v>
      </c>
      <c r="E10" s="18">
        <f>E9+'Sales'!E11</f>
        <v>154</v>
      </c>
      <c r="F10" s="18">
        <v>1318</v>
      </c>
      <c r="G10" s="18">
        <v>1669</v>
      </c>
      <c r="H10" s="18">
        <f>F10+G10-B10-D10</f>
        <v>0</v>
      </c>
      <c r="I10" s="18">
        <f>B10-F10</f>
        <v>-475</v>
      </c>
      <c r="J10" s="18"/>
    </row>
    <row r="11" ht="20.05" customHeight="1">
      <c r="A11" s="32">
        <v>2018</v>
      </c>
      <c r="B11" s="17">
        <v>764</v>
      </c>
      <c r="C11" s="18">
        <v>2968</v>
      </c>
      <c r="D11" s="18">
        <f>C11-B11</f>
        <v>2204</v>
      </c>
      <c r="E11" s="18">
        <f>E10+'Sales'!E12</f>
        <v>173</v>
      </c>
      <c r="F11" s="18">
        <v>1225</v>
      </c>
      <c r="G11" s="18">
        <v>1743</v>
      </c>
      <c r="H11" s="18">
        <f>F11+G11-B11-D11</f>
        <v>0</v>
      </c>
      <c r="I11" s="18">
        <f>B11-F11</f>
        <v>-461</v>
      </c>
      <c r="J11" s="18"/>
    </row>
    <row r="12" ht="20.05" customHeight="1">
      <c r="A12" s="31"/>
      <c r="B12" s="17">
        <v>715</v>
      </c>
      <c r="C12" s="18">
        <v>2997</v>
      </c>
      <c r="D12" s="18">
        <f>C12-B12</f>
        <v>2282</v>
      </c>
      <c r="E12" s="18">
        <f>E11+'Sales'!E13</f>
        <v>192</v>
      </c>
      <c r="F12" s="18">
        <v>1263</v>
      </c>
      <c r="G12" s="18">
        <v>1734</v>
      </c>
      <c r="H12" s="18">
        <f>F12+G12-B12-D12</f>
        <v>0</v>
      </c>
      <c r="I12" s="18">
        <f>B12-F12</f>
        <v>-548</v>
      </c>
      <c r="J12" s="18"/>
    </row>
    <row r="13" ht="20.05" customHeight="1">
      <c r="A13" s="31"/>
      <c r="B13" s="17">
        <v>688</v>
      </c>
      <c r="C13" s="18">
        <v>3061</v>
      </c>
      <c r="D13" s="18">
        <f>C13-B13</f>
        <v>2373</v>
      </c>
      <c r="E13" s="18">
        <f>E12+'Sales'!E14</f>
        <v>208</v>
      </c>
      <c r="F13" s="18">
        <v>1270</v>
      </c>
      <c r="G13" s="18">
        <v>1791</v>
      </c>
      <c r="H13" s="18">
        <f>F13+G13-B13-D13</f>
        <v>0</v>
      </c>
      <c r="I13" s="18">
        <f>B13-F13</f>
        <v>-582</v>
      </c>
      <c r="J13" s="18"/>
    </row>
    <row r="14" ht="20.05" customHeight="1">
      <c r="A14" s="31"/>
      <c r="B14" s="17">
        <v>727</v>
      </c>
      <c r="C14" s="18">
        <v>3173</v>
      </c>
      <c r="D14" s="18">
        <f>C14-B14</f>
        <v>2446</v>
      </c>
      <c r="E14" s="18">
        <f>E13+'Sales'!E15</f>
        <v>236</v>
      </c>
      <c r="F14" s="18">
        <v>1403</v>
      </c>
      <c r="G14" s="18">
        <v>1770</v>
      </c>
      <c r="H14" s="18">
        <f>F14+G14-B14-D14</f>
        <v>0</v>
      </c>
      <c r="I14" s="18">
        <f>B14-F14</f>
        <v>-676</v>
      </c>
      <c r="J14" s="18"/>
    </row>
    <row r="15" ht="20.05" customHeight="1">
      <c r="A15" s="32">
        <v>2019</v>
      </c>
      <c r="B15" s="17">
        <v>548</v>
      </c>
      <c r="C15" s="18">
        <v>3041</v>
      </c>
      <c r="D15" s="18">
        <f>C15-B15</f>
        <v>2493</v>
      </c>
      <c r="E15" s="18">
        <f>E14+'Sales'!E16</f>
        <v>253</v>
      </c>
      <c r="F15" s="18">
        <v>1253</v>
      </c>
      <c r="G15" s="18">
        <v>1788</v>
      </c>
      <c r="H15" s="18">
        <f>F15+G15-B15-D15</f>
        <v>0</v>
      </c>
      <c r="I15" s="18">
        <f>B15-F15</f>
        <v>-705</v>
      </c>
      <c r="J15" s="18"/>
    </row>
    <row r="16" ht="20.05" customHeight="1">
      <c r="A16" s="31"/>
      <c r="B16" s="17">
        <v>649</v>
      </c>
      <c r="C16" s="18">
        <v>3194</v>
      </c>
      <c r="D16" s="18">
        <f>C16-B16</f>
        <v>2545</v>
      </c>
      <c r="E16" s="18">
        <f>E15+'Sales'!E17</f>
        <v>278</v>
      </c>
      <c r="F16" s="18">
        <v>1417</v>
      </c>
      <c r="G16" s="18">
        <v>1777</v>
      </c>
      <c r="H16" s="18">
        <f>F16+G16-B16-D16</f>
        <v>0</v>
      </c>
      <c r="I16" s="18">
        <f>B16-F16</f>
        <v>-768</v>
      </c>
      <c r="J16" s="18"/>
    </row>
    <row r="17" ht="20.05" customHeight="1">
      <c r="A17" s="31"/>
      <c r="B17" s="22"/>
      <c r="C17" s="18"/>
      <c r="D17" s="18">
        <f>C17-B17</f>
        <v>0</v>
      </c>
      <c r="E17" s="18">
        <f>E16+'Sales'!E18</f>
        <v>299</v>
      </c>
      <c r="F17" s="18"/>
      <c r="G17" s="18"/>
      <c r="H17" s="18">
        <f>F17+G17-B17-D17</f>
        <v>0</v>
      </c>
      <c r="I17" s="23"/>
      <c r="J17" s="23"/>
    </row>
    <row r="18" ht="20.05" customHeight="1">
      <c r="A18" s="31"/>
      <c r="B18" s="17">
        <v>660</v>
      </c>
      <c r="C18" s="18">
        <v>3451</v>
      </c>
      <c r="D18" s="18">
        <f>C18-B18</f>
        <v>2791</v>
      </c>
      <c r="E18" s="18">
        <f>E17+'Sales'!E19</f>
        <v>324</v>
      </c>
      <c r="F18" s="18">
        <v>1690</v>
      </c>
      <c r="G18" s="18">
        <v>1761</v>
      </c>
      <c r="H18" s="18">
        <f>F18+G18-B18-D18</f>
        <v>0</v>
      </c>
      <c r="I18" s="18">
        <f>B18-F18</f>
        <v>-1030</v>
      </c>
      <c r="J18" s="18"/>
    </row>
    <row r="19" ht="20.05" customHeight="1">
      <c r="A19" s="32">
        <v>2020</v>
      </c>
      <c r="B19" s="17">
        <v>624</v>
      </c>
      <c r="C19" s="18">
        <v>3404</v>
      </c>
      <c r="D19" s="18">
        <f>C19-B19</f>
        <v>2780</v>
      </c>
      <c r="E19" s="18">
        <f>E18+'Sales'!E20</f>
        <v>350</v>
      </c>
      <c r="F19" s="18">
        <v>1665</v>
      </c>
      <c r="G19" s="18">
        <v>1738</v>
      </c>
      <c r="H19" s="18">
        <f>F19+G19-B19-D19</f>
        <v>-1</v>
      </c>
      <c r="I19" s="18">
        <f>B19-F19</f>
        <v>-1041</v>
      </c>
      <c r="J19" s="18"/>
    </row>
    <row r="20" ht="20.05" customHeight="1">
      <c r="A20" s="31"/>
      <c r="B20" s="17">
        <v>649</v>
      </c>
      <c r="C20" s="18">
        <v>3327</v>
      </c>
      <c r="D20" s="18">
        <f>C20-B20</f>
        <v>2678</v>
      </c>
      <c r="E20" s="18">
        <f>E19+'Sales'!E21</f>
        <v>375</v>
      </c>
      <c r="F20" s="18">
        <v>1601</v>
      </c>
      <c r="G20" s="18">
        <v>1726</v>
      </c>
      <c r="H20" s="18">
        <f>F20+G20-B20-D20</f>
        <v>0</v>
      </c>
      <c r="I20" s="18">
        <f>B20-F20</f>
        <v>-952</v>
      </c>
      <c r="J20" s="18"/>
    </row>
    <row r="21" ht="20.05" customHeight="1">
      <c r="A21" s="31"/>
      <c r="B21" s="17">
        <v>516</v>
      </c>
      <c r="C21" s="18">
        <v>3260</v>
      </c>
      <c r="D21" s="18">
        <f>C21-B21</f>
        <v>2744</v>
      </c>
      <c r="E21" s="18">
        <f>E20+'Sales'!E22</f>
        <v>400</v>
      </c>
      <c r="F21" s="18">
        <v>1522</v>
      </c>
      <c r="G21" s="18">
        <v>1738</v>
      </c>
      <c r="H21" s="18">
        <f>F21+G21-B21-D21</f>
        <v>0</v>
      </c>
      <c r="I21" s="18">
        <f>B21-F21</f>
        <v>-1006</v>
      </c>
      <c r="J21" s="18"/>
    </row>
    <row r="22" ht="20.05" customHeight="1">
      <c r="A22" s="31"/>
      <c r="B22" s="17">
        <v>919</v>
      </c>
      <c r="C22" s="18">
        <v>3594</v>
      </c>
      <c r="D22" s="18">
        <f>C22-B22</f>
        <v>2675</v>
      </c>
      <c r="E22" s="18">
        <f>1556</f>
        <v>1556</v>
      </c>
      <c r="F22" s="18">
        <v>1782</v>
      </c>
      <c r="G22" s="18">
        <v>1811</v>
      </c>
      <c r="H22" s="18">
        <f>F22+G22-B22-D22</f>
        <v>-1</v>
      </c>
      <c r="I22" s="18">
        <f>B22-F22</f>
        <v>-863</v>
      </c>
      <c r="J22" s="23"/>
    </row>
    <row r="23" ht="20.05" customHeight="1">
      <c r="A23" s="32">
        <v>2021</v>
      </c>
      <c r="B23" s="17">
        <v>767</v>
      </c>
      <c r="C23" s="18">
        <v>3464</v>
      </c>
      <c r="D23" s="18">
        <f>C23-B23</f>
        <v>2697</v>
      </c>
      <c r="E23" s="18">
        <f>E22+'Sales'!E24</f>
        <v>1581</v>
      </c>
      <c r="F23" s="18">
        <v>1569</v>
      </c>
      <c r="G23" s="18">
        <v>1895</v>
      </c>
      <c r="H23" s="18">
        <f>F23+G23-B23-D23</f>
        <v>0</v>
      </c>
      <c r="I23" s="18">
        <f>B23-F23</f>
        <v>-802</v>
      </c>
      <c r="J23" s="18"/>
    </row>
    <row r="24" ht="20.05" customHeight="1">
      <c r="A24" s="31"/>
      <c r="B24" s="17">
        <v>762</v>
      </c>
      <c r="C24" s="18">
        <v>3514</v>
      </c>
      <c r="D24" s="18">
        <f>C24-B24</f>
        <v>2752</v>
      </c>
      <c r="E24" s="18">
        <f>E23+'Sales'!E25</f>
        <v>1607.3</v>
      </c>
      <c r="F24" s="18">
        <v>1647</v>
      </c>
      <c r="G24" s="18">
        <v>1867</v>
      </c>
      <c r="H24" s="18">
        <f>F24+G24-B24-D24</f>
        <v>0</v>
      </c>
      <c r="I24" s="18">
        <f>B24-F24</f>
        <v>-885</v>
      </c>
      <c r="J24" s="18"/>
    </row>
    <row r="25" ht="20.05" customHeight="1">
      <c r="A25" s="31"/>
      <c r="B25" s="17">
        <v>1687</v>
      </c>
      <c r="C25" s="18">
        <v>4591</v>
      </c>
      <c r="D25" s="18">
        <f>C25-B25</f>
        <v>2904</v>
      </c>
      <c r="E25" s="18">
        <f>1633+1</f>
        <v>1634</v>
      </c>
      <c r="F25" s="18">
        <v>1656</v>
      </c>
      <c r="G25" s="18">
        <v>2935</v>
      </c>
      <c r="H25" s="18">
        <f>F25+G25-B25-D25</f>
        <v>0</v>
      </c>
      <c r="I25" s="18">
        <f>B25-F25</f>
        <v>31</v>
      </c>
      <c r="J25" s="18">
        <f>I25</f>
        <v>31</v>
      </c>
    </row>
    <row r="26" ht="20.05" customHeight="1">
      <c r="A26" s="31"/>
      <c r="B26" s="17"/>
      <c r="C26" s="18"/>
      <c r="D26" s="18"/>
      <c r="E26" s="18"/>
      <c r="F26" s="18"/>
      <c r="G26" s="18"/>
      <c r="H26" s="18"/>
      <c r="I26" s="18"/>
      <c r="J26" s="18">
        <f>'Model'!F30</f>
        <v>216.572250026801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7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48438" style="35" customWidth="1"/>
    <col min="2" max="4" width="10" style="35" customWidth="1"/>
    <col min="5" max="16384" width="16.3516" style="35" customWidth="1"/>
  </cols>
  <sheetData>
    <row r="1" ht="40.75" customHeight="1"/>
    <row r="2" ht="27.65" customHeight="1">
      <c r="B2" t="s" s="2">
        <v>53</v>
      </c>
      <c r="C2" s="2"/>
      <c r="D2" s="2"/>
    </row>
    <row r="3" ht="20.25" customHeight="1">
      <c r="B3" s="5"/>
      <c r="C3" t="s" s="36">
        <v>54</v>
      </c>
      <c r="D3" t="s" s="36">
        <v>55</v>
      </c>
    </row>
    <row r="4" ht="20.25" customHeight="1">
      <c r="B4" s="27">
        <v>2016</v>
      </c>
      <c r="C4" s="28">
        <v>547.733459</v>
      </c>
      <c r="D4" s="8"/>
    </row>
    <row r="5" ht="20.05" customHeight="1">
      <c r="B5" s="31"/>
      <c r="C5" s="17">
        <v>555.558716</v>
      </c>
      <c r="D5" s="24"/>
    </row>
    <row r="6" ht="20.05" customHeight="1">
      <c r="B6" s="31"/>
      <c r="C6" s="17">
        <v>735.528381</v>
      </c>
      <c r="D6" s="24"/>
    </row>
    <row r="7" ht="20.05" customHeight="1">
      <c r="B7" s="31"/>
      <c r="C7" s="17">
        <v>704.229187</v>
      </c>
      <c r="D7" s="24"/>
    </row>
    <row r="8" ht="20.05" customHeight="1">
      <c r="B8" s="31"/>
      <c r="C8" s="17">
        <v>719.878723</v>
      </c>
      <c r="D8" s="24"/>
    </row>
    <row r="9" ht="20.05" customHeight="1">
      <c r="B9" s="31"/>
      <c r="C9" s="17">
        <v>1002.952454</v>
      </c>
      <c r="D9" s="24"/>
    </row>
    <row r="10" ht="20.05" customHeight="1">
      <c r="B10" s="31"/>
      <c r="C10" s="17">
        <v>1792.166138</v>
      </c>
      <c r="D10" s="24"/>
    </row>
    <row r="11" ht="20.05" customHeight="1">
      <c r="B11" s="31"/>
      <c r="C11" s="17">
        <v>2268.987549</v>
      </c>
      <c r="D11" s="24"/>
    </row>
    <row r="12" ht="20.05" customHeight="1">
      <c r="B12" s="31"/>
      <c r="C12" s="17">
        <v>3125.61084</v>
      </c>
      <c r="D12" s="24"/>
    </row>
    <row r="13" ht="20.05" customHeight="1">
      <c r="B13" s="31"/>
      <c r="C13" s="17">
        <v>3497.699707</v>
      </c>
      <c r="D13" s="24"/>
    </row>
    <row r="14" ht="20.05" customHeight="1">
      <c r="B14" s="31"/>
      <c r="C14" s="17">
        <v>3615.9021</v>
      </c>
      <c r="D14" s="24"/>
    </row>
    <row r="15" ht="20.05" customHeight="1">
      <c r="B15" s="31"/>
      <c r="C15" s="17">
        <v>3882.935059</v>
      </c>
      <c r="D15" s="24"/>
    </row>
    <row r="16" ht="20.05" customHeight="1">
      <c r="B16" s="32">
        <v>2017</v>
      </c>
      <c r="C16" s="17">
        <v>4128.081543</v>
      </c>
      <c r="D16" s="24"/>
    </row>
    <row r="17" ht="20.05" customHeight="1">
      <c r="B17" s="31"/>
      <c r="C17" s="17">
        <v>4198.121094</v>
      </c>
      <c r="D17" s="24"/>
    </row>
    <row r="18" ht="20.05" customHeight="1">
      <c r="B18" s="31"/>
      <c r="C18" s="17">
        <v>4644.637695</v>
      </c>
      <c r="D18" s="24"/>
    </row>
    <row r="19" ht="20.05" customHeight="1">
      <c r="B19" s="31"/>
      <c r="C19" s="17">
        <v>4622.750977</v>
      </c>
      <c r="D19" s="24"/>
    </row>
    <row r="20" ht="20.05" customHeight="1">
      <c r="B20" s="31"/>
      <c r="C20" s="17">
        <v>5005.522949</v>
      </c>
      <c r="D20" s="24"/>
    </row>
    <row r="21" ht="20.05" customHeight="1">
      <c r="B21" s="31"/>
      <c r="C21" s="17">
        <v>5202.291504</v>
      </c>
      <c r="D21" s="24"/>
    </row>
    <row r="22" ht="20.05" customHeight="1">
      <c r="B22" s="31"/>
      <c r="C22" s="17">
        <v>4136.011719</v>
      </c>
      <c r="D22" s="24"/>
    </row>
    <row r="23" ht="20.05" customHeight="1">
      <c r="B23" s="31"/>
      <c r="C23" s="17">
        <v>4659.125</v>
      </c>
      <c r="D23" s="24"/>
    </row>
    <row r="24" ht="20.05" customHeight="1">
      <c r="B24" s="31"/>
      <c r="C24" s="17">
        <v>5553.794434</v>
      </c>
      <c r="D24" s="24"/>
    </row>
    <row r="25" ht="20.05" customHeight="1">
      <c r="B25" s="31"/>
      <c r="C25" s="17">
        <v>5386.559082</v>
      </c>
      <c r="D25" s="24"/>
    </row>
    <row r="26" ht="20.05" customHeight="1">
      <c r="B26" s="31"/>
      <c r="C26" s="17">
        <v>5903.078613</v>
      </c>
      <c r="D26" s="24"/>
    </row>
    <row r="27" ht="20.05" customHeight="1">
      <c r="B27" s="31"/>
      <c r="C27" s="17">
        <v>6419.598145</v>
      </c>
      <c r="D27" s="24"/>
    </row>
    <row r="28" ht="20.05" customHeight="1">
      <c r="B28" s="32">
        <v>2018</v>
      </c>
      <c r="C28" s="17">
        <v>6050.655762</v>
      </c>
      <c r="D28" s="24"/>
    </row>
    <row r="29" ht="20.05" customHeight="1">
      <c r="B29" s="31"/>
      <c r="C29" s="17">
        <v>6124.444336</v>
      </c>
      <c r="D29" s="24"/>
    </row>
    <row r="30" ht="20.05" customHeight="1">
      <c r="B30" s="31"/>
      <c r="C30" s="17">
        <v>5952.270996</v>
      </c>
      <c r="D30" s="24"/>
    </row>
    <row r="31" ht="20.05" customHeight="1">
      <c r="B31" s="31"/>
      <c r="C31" s="17">
        <v>5755.501953</v>
      </c>
      <c r="D31" s="24"/>
    </row>
    <row r="32" ht="20.05" customHeight="1">
      <c r="B32" s="31"/>
      <c r="C32" s="17">
        <v>5546.771973</v>
      </c>
      <c r="D32" s="24"/>
    </row>
    <row r="33" ht="20.05" customHeight="1">
      <c r="B33" s="31"/>
      <c r="C33" s="17">
        <v>4952.474609</v>
      </c>
      <c r="D33" s="24"/>
    </row>
    <row r="34" ht="20.05" customHeight="1">
      <c r="B34" s="31"/>
      <c r="C34" s="17">
        <v>5447.722168</v>
      </c>
      <c r="D34" s="24"/>
    </row>
    <row r="35" ht="20.05" customHeight="1">
      <c r="B35" s="31"/>
      <c r="C35" s="17">
        <v>4873.235352</v>
      </c>
      <c r="D35" s="24"/>
    </row>
    <row r="36" ht="20.05" customHeight="1">
      <c r="B36" s="31"/>
      <c r="C36" s="17">
        <v>4764.280762</v>
      </c>
      <c r="D36" s="24"/>
    </row>
    <row r="37" ht="20.05" customHeight="1">
      <c r="B37" s="31"/>
      <c r="C37" s="17">
        <v>5300.175781</v>
      </c>
      <c r="D37" s="24"/>
    </row>
    <row r="38" ht="20.05" customHeight="1">
      <c r="B38" s="31"/>
      <c r="C38" s="17">
        <v>5897.378418</v>
      </c>
      <c r="D38" s="24"/>
    </row>
    <row r="39" ht="20.05" customHeight="1">
      <c r="B39" s="31"/>
      <c r="C39" s="17">
        <v>5847.611816</v>
      </c>
      <c r="D39" s="24"/>
    </row>
    <row r="40" ht="20.05" customHeight="1">
      <c r="B40" s="32">
        <v>2019</v>
      </c>
      <c r="C40" s="17">
        <v>5847.611816</v>
      </c>
      <c r="D40" s="24"/>
    </row>
    <row r="41" ht="20.05" customHeight="1">
      <c r="B41" s="31"/>
      <c r="C41" s="17">
        <v>5673.427246</v>
      </c>
      <c r="D41" s="24"/>
    </row>
    <row r="42" ht="20.05" customHeight="1">
      <c r="B42" s="31"/>
      <c r="C42" s="17">
        <v>5524.126465</v>
      </c>
      <c r="D42" s="24"/>
    </row>
    <row r="43" ht="20.05" customHeight="1">
      <c r="B43" s="31"/>
      <c r="C43" s="17">
        <v>5076.224609</v>
      </c>
      <c r="D43" s="24"/>
    </row>
    <row r="44" ht="20.05" customHeight="1">
      <c r="B44" s="31"/>
      <c r="C44" s="17">
        <v>5076.224609</v>
      </c>
      <c r="D44" s="24"/>
    </row>
    <row r="45" ht="20.05" customHeight="1">
      <c r="B45" s="31"/>
      <c r="C45" s="17">
        <v>4967.272949</v>
      </c>
      <c r="D45" s="24"/>
    </row>
    <row r="46" ht="20.05" customHeight="1">
      <c r="B46" s="31"/>
      <c r="C46" s="17">
        <v>6271.556641</v>
      </c>
      <c r="D46" s="24"/>
    </row>
    <row r="47" ht="20.05" customHeight="1">
      <c r="B47" s="31"/>
      <c r="C47" s="17">
        <v>8820.157227</v>
      </c>
      <c r="D47" s="24"/>
    </row>
    <row r="48" ht="20.05" customHeight="1">
      <c r="B48" s="31"/>
      <c r="C48" s="17">
        <v>8195.500977</v>
      </c>
      <c r="D48" s="24"/>
    </row>
    <row r="49" ht="20.05" customHeight="1">
      <c r="B49" s="31"/>
      <c r="C49" s="17">
        <v>9494.787109000001</v>
      </c>
      <c r="D49" s="24"/>
    </row>
    <row r="50" ht="20.05" customHeight="1">
      <c r="B50" s="31"/>
      <c r="C50" s="17">
        <v>9350</v>
      </c>
      <c r="D50" s="24"/>
    </row>
    <row r="51" ht="20.05" customHeight="1">
      <c r="B51" s="31"/>
      <c r="C51" s="17">
        <v>10375</v>
      </c>
      <c r="D51" s="24"/>
    </row>
    <row r="52" ht="20.05" customHeight="1">
      <c r="B52" s="32">
        <v>2020</v>
      </c>
      <c r="C52" s="17">
        <v>8775</v>
      </c>
      <c r="D52" s="24"/>
    </row>
    <row r="53" ht="20.05" customHeight="1">
      <c r="B53" s="31"/>
      <c r="C53" s="17">
        <v>8000</v>
      </c>
      <c r="D53" s="24"/>
    </row>
    <row r="54" ht="20.05" customHeight="1">
      <c r="B54" s="31"/>
      <c r="C54" s="17">
        <v>5250</v>
      </c>
      <c r="D54" s="24"/>
    </row>
    <row r="55" ht="20.05" customHeight="1">
      <c r="B55" s="31"/>
      <c r="C55" s="17">
        <v>8975</v>
      </c>
      <c r="D55" s="24"/>
    </row>
    <row r="56" ht="20.05" customHeight="1">
      <c r="B56" s="31"/>
      <c r="C56" s="17">
        <v>7325</v>
      </c>
      <c r="D56" s="24"/>
    </row>
    <row r="57" ht="20.05" customHeight="1">
      <c r="B57" s="31"/>
      <c r="C57" s="17">
        <v>6575</v>
      </c>
      <c r="D57" s="24"/>
    </row>
    <row r="58" ht="20.05" customHeight="1">
      <c r="B58" s="31"/>
      <c r="C58" s="17">
        <v>7325</v>
      </c>
      <c r="D58" s="24"/>
    </row>
    <row r="59" ht="20.05" customHeight="1">
      <c r="B59" s="31"/>
      <c r="C59" s="17">
        <v>7125</v>
      </c>
      <c r="D59" s="24"/>
    </row>
    <row r="60" ht="20.05" customHeight="1">
      <c r="B60" s="31"/>
      <c r="C60" s="17">
        <v>7200</v>
      </c>
      <c r="D60" s="24"/>
    </row>
    <row r="61" ht="20.05" customHeight="1">
      <c r="B61" s="31"/>
      <c r="C61" s="17">
        <v>8000</v>
      </c>
      <c r="D61" s="24"/>
    </row>
    <row r="62" ht="20.05" customHeight="1">
      <c r="B62" s="31"/>
      <c r="C62" s="17">
        <v>9300</v>
      </c>
      <c r="D62" s="24"/>
    </row>
    <row r="63" ht="20.05" customHeight="1">
      <c r="B63" s="31"/>
      <c r="C63" s="17">
        <v>9075</v>
      </c>
      <c r="D63" s="24"/>
    </row>
    <row r="64" ht="20.05" customHeight="1">
      <c r="B64" s="32">
        <v>2021</v>
      </c>
      <c r="C64" s="17">
        <v>10143.708008</v>
      </c>
      <c r="D64" s="24"/>
    </row>
    <row r="65" ht="20.05" customHeight="1">
      <c r="B65" s="31"/>
      <c r="C65" s="17">
        <v>9720.014648</v>
      </c>
      <c r="D65" s="24"/>
    </row>
    <row r="66" ht="20.05" customHeight="1">
      <c r="B66" s="31"/>
      <c r="C66" s="17">
        <v>11090.786133</v>
      </c>
      <c r="D66" s="24"/>
    </row>
    <row r="67" ht="20.05" customHeight="1">
      <c r="B67" s="31"/>
      <c r="C67" s="17">
        <v>10075</v>
      </c>
      <c r="D67" s="24"/>
    </row>
    <row r="68" ht="20.05" customHeight="1">
      <c r="B68" s="31"/>
      <c r="C68" s="17">
        <v>7925</v>
      </c>
      <c r="D68" s="24"/>
    </row>
    <row r="69" ht="20.05" customHeight="1">
      <c r="B69" s="31"/>
      <c r="C69" s="17">
        <v>9825</v>
      </c>
      <c r="D69" s="24"/>
    </row>
    <row r="70" ht="20.05" customHeight="1">
      <c r="B70" s="31"/>
      <c r="C70" s="17">
        <v>9400</v>
      </c>
      <c r="D70" s="24"/>
    </row>
    <row r="71" ht="20.05" customHeight="1">
      <c r="B71" s="31"/>
      <c r="C71" s="17">
        <v>7850</v>
      </c>
      <c r="D71" s="24"/>
    </row>
    <row r="72" ht="20.05" customHeight="1">
      <c r="B72" s="31"/>
      <c r="C72" s="17">
        <v>7200</v>
      </c>
      <c r="D72" s="18">
        <v>7888.053914153320</v>
      </c>
    </row>
    <row r="73" ht="20.05" customHeight="1">
      <c r="B73" s="31"/>
      <c r="C73" s="17">
        <v>7600</v>
      </c>
      <c r="D73" s="18">
        <v>7888.053914153320</v>
      </c>
    </row>
    <row r="74" ht="20.05" customHeight="1">
      <c r="B74" s="31"/>
      <c r="C74" s="17">
        <v>7275</v>
      </c>
      <c r="D74" s="18">
        <f>C74</f>
        <v>7275</v>
      </c>
    </row>
    <row r="75" ht="20.05" customHeight="1">
      <c r="B75" s="31"/>
      <c r="C75" s="17"/>
      <c r="D75" s="18">
        <f>'Model'!F43</f>
        <v>5978.571876190630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