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 " sheetId="4" r:id="rId7"/>
    <sheet name="Share price" sheetId="5" r:id="rId8"/>
  </sheets>
</workbook>
</file>

<file path=xl/sharedStrings.xml><?xml version="1.0" encoding="utf-8"?>
<sst xmlns="http://schemas.openxmlformats.org/spreadsheetml/2006/main" uniqueCount="60">
  <si>
    <t>Financial model</t>
  </si>
  <si>
    <t>Rpbn</t>
  </si>
  <si>
    <t>4Q 2021</t>
  </si>
  <si>
    <t xml:space="preserve">Cashflow </t>
  </si>
  <si>
    <t>Growth</t>
  </si>
  <si>
    <t>Sales</t>
  </si>
  <si>
    <t xml:space="preserve">Cost ratio </t>
  </si>
  <si>
    <t>Cash costs</t>
  </si>
  <si>
    <t xml:space="preserve">Non cash costs </t>
  </si>
  <si>
    <t xml:space="preserve">Net profit </t>
  </si>
  <si>
    <t xml:space="preserve">Operating </t>
  </si>
  <si>
    <t xml:space="preserve">Investment </t>
  </si>
  <si>
    <t>Leases</t>
  </si>
  <si>
    <t>Free cashflow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</si>
  <si>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</si>
  <si>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</si>
  <si>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</si>
  <si>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</si>
  <si>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Finance </t>
  </si>
  <si>
    <t>Beginning</t>
  </si>
  <si>
    <t xml:space="preserve">Change </t>
  </si>
  <si>
    <t xml:space="preserve">Ending  </t>
  </si>
  <si>
    <t xml:space="preserve">Balance Sheet </t>
  </si>
  <si>
    <t xml:space="preserve">Other assets </t>
  </si>
  <si>
    <t xml:space="preserve">Depreciation </t>
  </si>
  <si>
    <t xml:space="preserve">Net other assets </t>
  </si>
  <si>
    <t>Check</t>
  </si>
  <si>
    <t xml:space="preserve"> Net cash </t>
  </si>
  <si>
    <t xml:space="preserve">Valuation </t>
  </si>
  <si>
    <t xml:space="preserve">Capital </t>
  </si>
  <si>
    <t xml:space="preserve">Current value </t>
  </si>
  <si>
    <t>P/assetd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</si>
  <si>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</si>
  <si>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</si>
  <si>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</si>
  <si>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</si>
  <si>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</si>
  <si>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</si>
  <si>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</si>
  <si>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</si>
  <si>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>V target</t>
  </si>
  <si>
    <t xml:space="preserve">12 month growth </t>
  </si>
  <si>
    <t xml:space="preserve">Sales v forecast </t>
  </si>
  <si>
    <t xml:space="preserve">Profit </t>
  </si>
  <si>
    <t>Sales growth</t>
  </si>
  <si>
    <t xml:space="preserve">Cashflow costs </t>
  </si>
  <si>
    <t xml:space="preserve">Receipts </t>
  </si>
  <si>
    <t>Interest</t>
  </si>
  <si>
    <t>Finance</t>
  </si>
  <si>
    <t xml:space="preserve">Free cashflow </t>
  </si>
  <si>
    <t>Capital</t>
  </si>
  <si>
    <t>Balance sheet</t>
  </si>
  <si>
    <t xml:space="preserve">  Cash</t>
  </si>
  <si>
    <t>Assets</t>
  </si>
  <si>
    <t>Net cash</t>
  </si>
  <si>
    <t>Share price</t>
  </si>
  <si>
    <t>Date</t>
  </si>
  <si>
    <t>TOWR</t>
  </si>
  <si>
    <t>Target</t>
  </si>
  <si>
    <t>PE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</si>
</sst>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#,##0.0"/>
    <numFmt numFmtId="61" formatCode="#,##0%_);[Red]\(#,##0%\)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center" wrapText="1"/>
    </xf>
    <xf numFmtId="49" fontId="2" fillId="2" borderId="1" applyNumberFormat="1" applyFont="1" applyFill="1" applyBorder="1" applyAlignment="1" applyProtection="0">
      <alignment horizontal="right" vertical="center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horizontal="left" vertical="center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horizontal="left" vertical="center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horizontal="right" vertical="center"/>
    </xf>
    <xf numFmtId="3" fontId="0" borderId="7" applyNumberFormat="1" applyFont="1" applyFill="0" applyBorder="1" applyAlignment="1" applyProtection="0">
      <alignment horizontal="right" vertical="center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horizontal="left" vertical="center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49" fontId="2" fillId="2" borderId="1" applyNumberFormat="1" applyFont="1" applyFill="1" applyBorder="1" applyAlignment="1" applyProtection="0">
      <alignment horizontal="right" vertical="top"/>
    </xf>
    <xf numFmtId="3" fontId="2" fillId="2" borderId="1" applyNumberFormat="1" applyFont="1" applyFill="1" applyBorder="1" applyAlignment="1" applyProtection="0">
      <alignment horizontal="right" vertical="top"/>
    </xf>
    <xf numFmtId="0" fontId="2" fillId="4" borderId="2" applyNumberFormat="1" applyFont="1" applyFill="1" applyBorder="1" applyAlignment="1" applyProtection="0">
      <alignment vertical="top"/>
    </xf>
    <xf numFmtId="0" fontId="3" fillId="5" borderId="3" applyNumberFormat="1" applyFont="1" applyFill="1" applyBorder="1" applyAlignment="1" applyProtection="0">
      <alignment horizontal="right" vertical="center" wrapText="1" readingOrder="1"/>
    </xf>
    <xf numFmtId="0" fontId="3" fillId="5" borderId="4" applyNumberFormat="0" applyFont="1" applyFill="1" applyBorder="1" applyAlignment="1" applyProtection="0">
      <alignment horizontal="right" vertical="center" wrapText="1" readingOrder="1"/>
    </xf>
    <xf numFmtId="3" fontId="3" fillId="5" borderId="4" applyNumberFormat="1" applyFont="1" applyFill="1" applyBorder="1" applyAlignment="1" applyProtection="0">
      <alignment horizontal="right" vertical="center" wrapText="1" readingOrder="1"/>
    </xf>
    <xf numFmtId="0" fontId="2" fillId="4" borderId="5" applyNumberFormat="0" applyFont="1" applyFill="1" applyBorder="1" applyAlignment="1" applyProtection="0">
      <alignment vertical="top"/>
    </xf>
    <xf numFmtId="0" fontId="3" fillId="5" borderId="6" applyNumberFormat="1" applyFont="1" applyFill="1" applyBorder="1" applyAlignment="1" applyProtection="0">
      <alignment horizontal="right" vertical="center" wrapText="1" readingOrder="1"/>
    </xf>
    <xf numFmtId="0" fontId="3" fillId="5" borderId="7" applyNumberFormat="0" applyFont="1" applyFill="1" applyBorder="1" applyAlignment="1" applyProtection="0">
      <alignment horizontal="right" vertical="center" wrapText="1" readingOrder="1"/>
    </xf>
    <xf numFmtId="3" fontId="3" fillId="5" borderId="7" applyNumberFormat="1" applyFont="1" applyFill="1" applyBorder="1" applyAlignment="1" applyProtection="0">
      <alignment horizontal="right" vertical="center" wrapText="1" readingOrder="1"/>
    </xf>
    <xf numFmtId="0" fontId="2" fillId="4" borderId="5" applyNumberFormat="1" applyFont="1" applyFill="1" applyBorder="1" applyAlignment="1" applyProtection="0">
      <alignment vertical="top"/>
    </xf>
    <xf numFmtId="3" fontId="3" fillId="5" borderId="6" applyNumberFormat="1" applyFont="1" applyFill="1" applyBorder="1" applyAlignment="1" applyProtection="0">
      <alignment horizontal="right" vertical="center" wrapText="1" readingOrder="1"/>
    </xf>
    <xf numFmtId="0" fontId="0" borderId="7" applyNumberFormat="0" applyFont="1" applyFill="0" applyBorder="1" applyAlignment="1" applyProtection="0">
      <alignment vertical="top"/>
    </xf>
    <xf numFmtId="3" fontId="0" borderId="6" applyNumberFormat="1" applyFont="1" applyFill="0" applyBorder="1" applyAlignment="1" applyProtection="0">
      <alignment vertical="top"/>
    </xf>
    <xf numFmtId="3" fontId="0" borderId="7" applyNumberFormat="1" applyFont="1" applyFill="0" applyBorder="1" applyAlignment="1" applyProtection="0">
      <alignment vertical="top"/>
    </xf>
    <xf numFmtId="0" fontId="3" fillId="5" borderId="7" applyNumberFormat="1" applyFont="1" applyFill="1" applyBorder="1" applyAlignment="1" applyProtection="0">
      <alignment horizontal="right" vertical="center" wrapText="1" readingOrder="1"/>
    </xf>
    <xf numFmtId="0" fontId="0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598186</xdr:colOff>
      <xdr:row>1</xdr:row>
      <xdr:rowOff>238067</xdr:rowOff>
    </xdr:from>
    <xdr:to>
      <xdr:col>13</xdr:col>
      <xdr:colOff>474409</xdr:colOff>
      <xdr:row>47</xdr:row>
      <xdr:rowOff>10349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322586" y="988637"/>
          <a:ext cx="8588424" cy="1158709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2.125" style="1" customWidth="1"/>
    <col min="2" max="2" width="16.4375" style="1" customWidth="1"/>
    <col min="3" max="6" width="8.40625" style="1" customWidth="1"/>
    <col min="7" max="16384" width="16.3516" style="1" customWidth="1"/>
  </cols>
  <sheetData>
    <row r="1" ht="59.1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6"/>
    </row>
    <row r="4" ht="20.25" customHeight="1">
      <c r="B4" t="s" s="7">
        <v>3</v>
      </c>
      <c r="C4" s="8">
        <f>AVERAGE('Sales'!H27:H30)</f>
        <v>0.0289063065078512</v>
      </c>
      <c r="D4" s="9"/>
      <c r="E4" s="9"/>
      <c r="F4" s="10">
        <f>AVERAGE(C5:F5)</f>
        <v>0.0175</v>
      </c>
    </row>
    <row r="5" ht="20.05" customHeight="1">
      <c r="B5" t="s" s="11">
        <v>4</v>
      </c>
      <c r="C5" s="12">
        <v>0.02</v>
      </c>
      <c r="D5" s="13">
        <v>-0.01</v>
      </c>
      <c r="E5" s="13">
        <v>0.03</v>
      </c>
      <c r="F5" s="13">
        <v>0.03</v>
      </c>
    </row>
    <row r="6" ht="20.05" customHeight="1">
      <c r="B6" t="s" s="11">
        <v>5</v>
      </c>
      <c r="C6" s="14">
        <f>'Sales'!C30*(1+C5)</f>
        <v>2137.206</v>
      </c>
      <c r="D6" s="15">
        <f>C6*(1+D5)</f>
        <v>2115.83394</v>
      </c>
      <c r="E6" s="15">
        <f>D6*(1+E5)</f>
        <v>2179.3089582</v>
      </c>
      <c r="F6" s="15">
        <f>E6*(1+F5)</f>
        <v>2244.688226946</v>
      </c>
    </row>
    <row r="7" ht="20.05" customHeight="1">
      <c r="B7" t="s" s="11">
        <v>6</v>
      </c>
      <c r="C7" s="16">
        <f>AVERAGE('Sales'!J29)</f>
        <v>-0.443797043987566</v>
      </c>
      <c r="D7" s="17">
        <f>C7</f>
        <v>-0.443797043987566</v>
      </c>
      <c r="E7" s="17">
        <f>D7</f>
        <v>-0.443797043987566</v>
      </c>
      <c r="F7" s="17">
        <f>E7</f>
        <v>-0.443797043987566</v>
      </c>
    </row>
    <row r="8" ht="20.05" customHeight="1">
      <c r="B8" t="s" s="11">
        <v>7</v>
      </c>
      <c r="C8" s="14">
        <f>C6*C7</f>
        <v>-948.4857051924899</v>
      </c>
      <c r="D8" s="15">
        <f>D6*D7</f>
        <v>-939.000848140565</v>
      </c>
      <c r="E8" s="15">
        <f>E6*E7</f>
        <v>-967.170873584782</v>
      </c>
      <c r="F8" s="15">
        <f>F6*F7</f>
        <v>-996.185999792325</v>
      </c>
    </row>
    <row r="9" ht="20.05" customHeight="1">
      <c r="B9" t="s" s="11">
        <v>8</v>
      </c>
      <c r="C9" s="14">
        <f>-AVERAGE('Sales'!E30)</f>
        <v>-409</v>
      </c>
      <c r="D9" s="15">
        <f>C9</f>
        <v>-409</v>
      </c>
      <c r="E9" s="15">
        <f>D9</f>
        <v>-409</v>
      </c>
      <c r="F9" s="15">
        <f>E9</f>
        <v>-409</v>
      </c>
    </row>
    <row r="10" ht="20.05" customHeight="1">
      <c r="B10" t="s" s="11">
        <v>9</v>
      </c>
      <c r="C10" s="18">
        <f>C6+C8+C9</f>
        <v>779.720294807510</v>
      </c>
      <c r="D10" s="19">
        <f>D6+D8+D9</f>
        <v>767.8330918594349</v>
      </c>
      <c r="E10" s="19">
        <f>E6+E8+E9</f>
        <v>803.138084615218</v>
      </c>
      <c r="F10" s="19">
        <f>F6+F8+F9</f>
        <v>839.502227153675</v>
      </c>
    </row>
    <row r="11" ht="20.05" customHeight="1">
      <c r="B11" t="s" s="11">
        <v>10</v>
      </c>
      <c r="C11" s="14">
        <f>C6+C8</f>
        <v>1188.720294807510</v>
      </c>
      <c r="D11" s="15">
        <f>D6+D8</f>
        <v>1176.833091859440</v>
      </c>
      <c r="E11" s="15">
        <f>E6+E8</f>
        <v>1212.138084615220</v>
      </c>
      <c r="F11" s="15">
        <f>F6+F8</f>
        <v>1248.502227153680</v>
      </c>
    </row>
    <row r="12" ht="20.05" customHeight="1">
      <c r="B12" t="s" s="11">
        <v>11</v>
      </c>
      <c r="C12" s="18">
        <f>AVERAGE('Cashflow '!E28:E30)</f>
        <v>-464.1</v>
      </c>
      <c r="D12" s="19">
        <f>C12</f>
        <v>-464.1</v>
      </c>
      <c r="E12" s="19">
        <f>D12</f>
        <v>-464.1</v>
      </c>
      <c r="F12" s="19">
        <f>E12</f>
        <v>-464.1</v>
      </c>
    </row>
    <row r="13" ht="20.05" customHeight="1">
      <c r="B13" t="s" s="11">
        <v>12</v>
      </c>
      <c r="C13" s="14">
        <f>'Cashflow '!F30</f>
        <v>-224.5</v>
      </c>
      <c r="D13" s="15">
        <f>C13</f>
        <v>-224.5</v>
      </c>
      <c r="E13" s="15">
        <f>D13</f>
        <v>-224.5</v>
      </c>
      <c r="F13" s="15">
        <f>E13</f>
        <v>-224.5</v>
      </c>
    </row>
    <row r="14" ht="20.05" customHeight="1">
      <c r="B14" t="s" s="11">
        <v>13</v>
      </c>
      <c r="C14" s="14">
        <f>SUM(C11:C13)</f>
        <v>500.120294807510</v>
      </c>
      <c r="D14" s="15">
        <f>SUM(D11:D13)</f>
        <v>488.233091859440</v>
      </c>
      <c r="E14" s="15">
        <f>SUM(E11:E13)</f>
        <v>523.538084615220</v>
      </c>
      <c r="F14" s="15">
        <f>SUM(F11:F13)</f>
        <v>559.902227153680</v>
      </c>
    </row>
    <row r="15" ht="20.05" customHeight="1">
      <c r="B15" t="s" s="11">
        <v>14</v>
      </c>
      <c r="C15" s="14">
        <f>-('Balance Sheet '!G30)/20</f>
        <v>-2037.15</v>
      </c>
      <c r="D15" s="15">
        <f>-C27/20</f>
        <v>-1935.2925</v>
      </c>
      <c r="E15" s="15">
        <f>-D27/20</f>
        <v>-1838.527875</v>
      </c>
      <c r="F15" s="15">
        <f>-E27/20</f>
        <v>-1746.60148125</v>
      </c>
    </row>
    <row r="16" ht="20.05" customHeight="1">
      <c r="B16" t="s" s="11">
        <v>15</v>
      </c>
      <c r="C16" s="18">
        <f>IF(C10&gt;0,-C10*0.3,0)</f>
        <v>-233.916088442253</v>
      </c>
      <c r="D16" s="19">
        <f>IF(D10&gt;0,-D10*0.3,0)</f>
        <v>-230.349927557831</v>
      </c>
      <c r="E16" s="19">
        <f>IF(E10&gt;0,-E10*0.3,0)</f>
        <v>-240.941425384565</v>
      </c>
      <c r="F16" s="19">
        <f>IF(F10&gt;0,-F10*0.3,0)</f>
        <v>-251.850668146103</v>
      </c>
    </row>
    <row r="17" ht="20.05" customHeight="1">
      <c r="B17" t="s" s="11">
        <v>16</v>
      </c>
      <c r="C17" s="14">
        <f>C11+C12+C15+C16</f>
        <v>-1546.445793634740</v>
      </c>
      <c r="D17" s="15">
        <f>D11+D12+D15+D16</f>
        <v>-1452.909335698390</v>
      </c>
      <c r="E17" s="15">
        <f>E11+E12+E15+E16</f>
        <v>-1331.431215769350</v>
      </c>
      <c r="F17" s="15">
        <f>F11+F12+F15+F16</f>
        <v>-1214.049922242420</v>
      </c>
    </row>
    <row r="18" ht="20.05" customHeight="1">
      <c r="B18" t="s" s="11">
        <v>17</v>
      </c>
      <c r="C18" s="14">
        <f>-MIN(0,C17)</f>
        <v>1546.445793634740</v>
      </c>
      <c r="D18" s="15">
        <f>-MIN(C28,D17)</f>
        <v>1452.909335698390</v>
      </c>
      <c r="E18" s="15">
        <f>-MIN(D28,E17)</f>
        <v>1331.431215769350</v>
      </c>
      <c r="F18" s="15">
        <f>-MIN(E28,F17)</f>
        <v>1214.049922242420</v>
      </c>
    </row>
    <row r="19" ht="20.05" customHeight="1">
      <c r="B19" t="s" s="11">
        <v>18</v>
      </c>
      <c r="C19" s="14">
        <f>C15+C16+C18</f>
        <v>-724.620294807513</v>
      </c>
      <c r="D19" s="15">
        <f>D15+D16+D18</f>
        <v>-712.7330918594409</v>
      </c>
      <c r="E19" s="15">
        <f>E15+E16+E18</f>
        <v>-748.038084615215</v>
      </c>
      <c r="F19" s="15">
        <f>F15+F16+F18</f>
        <v>-784.402227153683</v>
      </c>
    </row>
    <row r="20" ht="20.05" customHeight="1">
      <c r="B20" t="s" s="11">
        <v>19</v>
      </c>
      <c r="C20" s="14">
        <f>'Balance Sheet '!C30</f>
        <v>18774</v>
      </c>
      <c r="D20" s="15">
        <f>C22</f>
        <v>18774</v>
      </c>
      <c r="E20" s="15">
        <f>D22</f>
        <v>18774</v>
      </c>
      <c r="F20" s="15">
        <f>E22</f>
        <v>18774</v>
      </c>
    </row>
    <row r="21" ht="20.05" customHeight="1">
      <c r="B21" t="s" s="11">
        <v>20</v>
      </c>
      <c r="C21" s="14">
        <f>C11+C12+C19</f>
        <v>-3e-12</v>
      </c>
      <c r="D21" s="15">
        <f>D11+D12+D19</f>
        <v>-1e-12</v>
      </c>
      <c r="E21" s="15">
        <f>E11+E12+E19</f>
        <v>5e-12</v>
      </c>
      <c r="F21" s="15">
        <f>F11+F12+F19</f>
        <v>-3e-12</v>
      </c>
    </row>
    <row r="22" ht="20.05" customHeight="1">
      <c r="B22" t="s" s="11">
        <v>21</v>
      </c>
      <c r="C22" s="14">
        <f>C20+C21</f>
        <v>18774</v>
      </c>
      <c r="D22" s="15">
        <f>D20+D21</f>
        <v>18774</v>
      </c>
      <c r="E22" s="15">
        <f>E20+E21</f>
        <v>18774</v>
      </c>
      <c r="F22" s="15">
        <f>F20+F21</f>
        <v>18774</v>
      </c>
    </row>
    <row r="23" ht="20.05" customHeight="1">
      <c r="B23" t="s" s="20">
        <v>22</v>
      </c>
      <c r="C23" s="21"/>
      <c r="D23" s="22"/>
      <c r="E23" s="22"/>
      <c r="F23" s="19"/>
    </row>
    <row r="24" ht="20.05" customHeight="1">
      <c r="B24" t="s" s="11">
        <v>23</v>
      </c>
      <c r="C24" s="14">
        <f>'Balance Sheet '!E30+'Balance Sheet '!F30-C12</f>
        <v>40864.1</v>
      </c>
      <c r="D24" s="15">
        <f>C24-D12</f>
        <v>41328.2</v>
      </c>
      <c r="E24" s="15">
        <f>D24-E12</f>
        <v>41792.3</v>
      </c>
      <c r="F24" s="15">
        <f>E24-F12</f>
        <v>42256.4</v>
      </c>
    </row>
    <row r="25" ht="20.05" customHeight="1">
      <c r="B25" t="s" s="11">
        <v>24</v>
      </c>
      <c r="C25" s="14">
        <f>'Balance Sheet '!F30-C9</f>
        <v>7366</v>
      </c>
      <c r="D25" s="15">
        <f>C25-D9</f>
        <v>7775</v>
      </c>
      <c r="E25" s="15">
        <f>D25-E9</f>
        <v>8184</v>
      </c>
      <c r="F25" s="15">
        <f>E25-F9</f>
        <v>8593</v>
      </c>
    </row>
    <row r="26" ht="20.05" customHeight="1">
      <c r="B26" t="s" s="11">
        <v>25</v>
      </c>
      <c r="C26" s="14">
        <f>C24-C25</f>
        <v>33498.1</v>
      </c>
      <c r="D26" s="15">
        <f>D24-D25</f>
        <v>33553.2</v>
      </c>
      <c r="E26" s="15">
        <f>E24-E25</f>
        <v>33608.3</v>
      </c>
      <c r="F26" s="15">
        <f>F24-F25</f>
        <v>33663.4</v>
      </c>
    </row>
    <row r="27" ht="20.05" customHeight="1">
      <c r="B27" t="s" s="11">
        <v>14</v>
      </c>
      <c r="C27" s="14">
        <f>'Balance Sheet '!G30+C15</f>
        <v>38705.85</v>
      </c>
      <c r="D27" s="15">
        <f>C27+D15</f>
        <v>36770.5575</v>
      </c>
      <c r="E27" s="15">
        <f>D27+E15</f>
        <v>34932.029625</v>
      </c>
      <c r="F27" s="15">
        <f>E27+F15</f>
        <v>33185.42814375</v>
      </c>
    </row>
    <row r="28" ht="20.05" customHeight="1">
      <c r="B28" t="s" s="11">
        <v>17</v>
      </c>
      <c r="C28" s="14">
        <f>C18</f>
        <v>1546.445793634740</v>
      </c>
      <c r="D28" s="15">
        <f>C28+D18</f>
        <v>2999.355129333130</v>
      </c>
      <c r="E28" s="15">
        <f>D28+E18</f>
        <v>4330.786345102480</v>
      </c>
      <c r="F28" s="15">
        <f>E28+F18</f>
        <v>5544.8362673449</v>
      </c>
    </row>
    <row r="29" ht="20.05" customHeight="1">
      <c r="B29" t="s" s="11">
        <v>15</v>
      </c>
      <c r="C29" s="14">
        <f>'Balance Sheet '!H30+C10+C16</f>
        <v>12019.8042063653</v>
      </c>
      <c r="D29" s="15">
        <f>C29+D10+D16</f>
        <v>12557.2873706669</v>
      </c>
      <c r="E29" s="15">
        <f>D29+E10+E16</f>
        <v>13119.4840298976</v>
      </c>
      <c r="F29" s="15">
        <f>E29+F10+F16</f>
        <v>13707.1355889052</v>
      </c>
    </row>
    <row r="30" ht="20.05" customHeight="1">
      <c r="B30" t="s" s="11">
        <v>26</v>
      </c>
      <c r="C30" s="18">
        <f>C27+C28+C29-C22-C26</f>
        <v>4e-11</v>
      </c>
      <c r="D30" s="19">
        <f>D27+D28+D29-D22-D26</f>
        <v>3e-11</v>
      </c>
      <c r="E30" s="19">
        <f>E27+E28+E29-E22-E26</f>
        <v>8e-11</v>
      </c>
      <c r="F30" s="19">
        <f>F27+F28+F29-F22-F26</f>
        <v>1e-10</v>
      </c>
    </row>
    <row r="31" ht="20.05" customHeight="1">
      <c r="B31" t="s" s="11">
        <v>27</v>
      </c>
      <c r="C31" s="18">
        <f>C22-C27-C28</f>
        <v>-21478.2957936347</v>
      </c>
      <c r="D31" s="19">
        <f>D22-D27-D28</f>
        <v>-20995.9126293331</v>
      </c>
      <c r="E31" s="19">
        <f>E22-E27-E28</f>
        <v>-20488.8159701025</v>
      </c>
      <c r="F31" s="19">
        <f>F22-F27-F28</f>
        <v>-19956.2644110949</v>
      </c>
    </row>
    <row r="32" ht="20.05" customHeight="1">
      <c r="B32" t="s" s="20">
        <v>28</v>
      </c>
      <c r="C32" s="18"/>
      <c r="D32" s="19"/>
      <c r="E32" s="19"/>
      <c r="F32" s="19"/>
    </row>
    <row r="33" ht="20.05" customHeight="1">
      <c r="B33" t="s" s="11">
        <v>29</v>
      </c>
      <c r="C33" s="18">
        <f>'Cashflow '!M30-C19</f>
        <v>-15743.0587051925</v>
      </c>
      <c r="D33" s="19">
        <f>C33-D19</f>
        <v>-15030.3256133331</v>
      </c>
      <c r="E33" s="19">
        <f>D33-E19</f>
        <v>-14282.2875287179</v>
      </c>
      <c r="F33" s="19">
        <f>E33-F19</f>
        <v>-13497.8853015642</v>
      </c>
    </row>
    <row r="34" ht="20.05" customHeight="1">
      <c r="B34" t="s" s="11">
        <v>30</v>
      </c>
      <c r="C34" s="18"/>
      <c r="D34" s="19"/>
      <c r="E34" s="19"/>
      <c r="F34" s="19">
        <v>58020</v>
      </c>
    </row>
    <row r="35" ht="20.05" customHeight="1">
      <c r="B35" t="s" s="11">
        <v>31</v>
      </c>
      <c r="C35" s="18"/>
      <c r="D35" s="19"/>
      <c r="E35" s="19"/>
      <c r="F35" s="23">
        <f>F34/(F22+F26)</f>
        <v>1.10646218157269</v>
      </c>
    </row>
    <row r="36" ht="20.05" customHeight="1">
      <c r="B36" t="s" s="11">
        <v>32</v>
      </c>
      <c r="C36" s="18"/>
      <c r="D36" s="19"/>
      <c r="E36" s="19"/>
      <c r="F36" s="17">
        <f>-(C16+D16+E16+F16)/F34</f>
        <v>0.0164953138492029</v>
      </c>
    </row>
    <row r="37" ht="20.05" customHeight="1">
      <c r="B37" t="s" s="11">
        <v>33</v>
      </c>
      <c r="C37" s="18"/>
      <c r="D37" s="19"/>
      <c r="E37" s="19"/>
      <c r="F37" s="19">
        <f>SUM(C11:F13)</f>
        <v>2071.793698435850</v>
      </c>
    </row>
    <row r="38" ht="20.05" customHeight="1">
      <c r="B38" t="s" s="11">
        <v>34</v>
      </c>
      <c r="C38" s="18"/>
      <c r="D38" s="19"/>
      <c r="E38" s="19"/>
      <c r="F38" s="19">
        <f>'Balance Sheet '!E30/F37</f>
        <v>16.142051221243</v>
      </c>
    </row>
    <row r="39" ht="20.05" customHeight="1">
      <c r="B39" t="s" s="11">
        <v>28</v>
      </c>
      <c r="C39" s="18"/>
      <c r="D39" s="19"/>
      <c r="E39" s="19"/>
      <c r="F39" s="19">
        <f>F34/F37</f>
        <v>28.0047188307425</v>
      </c>
    </row>
    <row r="40" ht="20.05" customHeight="1">
      <c r="B40" t="s" s="11">
        <v>35</v>
      </c>
      <c r="C40" s="18"/>
      <c r="D40" s="19"/>
      <c r="E40" s="19"/>
      <c r="F40" s="19">
        <v>25</v>
      </c>
    </row>
    <row r="41" ht="20.05" customHeight="1">
      <c r="B41" t="s" s="11">
        <v>36</v>
      </c>
      <c r="C41" s="18"/>
      <c r="D41" s="19"/>
      <c r="E41" s="19"/>
      <c r="F41" s="19">
        <f>F37*F40</f>
        <v>51794.8424608963</v>
      </c>
    </row>
    <row r="42" ht="20.05" customHeight="1">
      <c r="B42" t="s" s="11">
        <v>37</v>
      </c>
      <c r="C42" s="18"/>
      <c r="D42" s="19"/>
      <c r="E42" s="19"/>
      <c r="F42" s="19">
        <f>F34/F44</f>
        <v>49.8025751072961</v>
      </c>
    </row>
    <row r="43" ht="20.05" customHeight="1">
      <c r="B43" t="s" s="11">
        <v>38</v>
      </c>
      <c r="C43" s="18"/>
      <c r="D43" s="19"/>
      <c r="E43" s="19"/>
      <c r="F43" s="19">
        <f>F41/F42</f>
        <v>1040.003300016270</v>
      </c>
    </row>
    <row r="44" ht="20.05" customHeight="1">
      <c r="B44" t="s" s="11">
        <v>39</v>
      </c>
      <c r="C44" s="18"/>
      <c r="D44" s="19"/>
      <c r="E44" s="19"/>
      <c r="F44" s="19">
        <f>'Share price'!C27</f>
        <v>1165</v>
      </c>
    </row>
    <row r="45" ht="20.05" customHeight="1">
      <c r="B45" t="s" s="11">
        <v>40</v>
      </c>
      <c r="C45" s="18"/>
      <c r="D45" s="19"/>
      <c r="E45" s="19"/>
      <c r="F45" s="17">
        <f>F43/F44-1</f>
        <v>-0.107293304707064</v>
      </c>
    </row>
    <row r="46" ht="20.05" customHeight="1">
      <c r="B46" t="s" s="11">
        <v>41</v>
      </c>
      <c r="C46" s="18"/>
      <c r="D46" s="19"/>
      <c r="E46" s="19"/>
      <c r="F46" s="17">
        <f>'Sales'!C30/'Sales'!C26-1</f>
        <v>0.12048128342246</v>
      </c>
    </row>
    <row r="47" ht="20.05" customHeight="1">
      <c r="B47" t="s" s="11">
        <v>42</v>
      </c>
      <c r="C47" s="18"/>
      <c r="D47" s="19"/>
      <c r="E47" s="19"/>
      <c r="F47" s="17">
        <f>('Sales'!D25+'Sales'!D30+'Sales'!D26+'Sales'!D27+'Sales'!D28+'Sales'!D29)/('Sales'!C25+'Sales'!C26+'Sales'!C27+'Sales'!C28+'Sales'!C30+'Sales'!C29)-1</f>
        <v>-0.008722257857601031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07812" style="24" customWidth="1"/>
    <col min="2" max="2" width="9.39062" style="24" customWidth="1"/>
    <col min="3" max="11" width="10.5547" style="24" customWidth="1"/>
    <col min="12" max="16384" width="16.3516" style="24" customWidth="1"/>
  </cols>
  <sheetData>
    <row r="1" ht="52.6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25">
        <v>1</v>
      </c>
      <c r="C3" t="s" s="25">
        <v>5</v>
      </c>
      <c r="D3" t="s" s="25">
        <v>35</v>
      </c>
      <c r="E3" t="s" s="25">
        <v>24</v>
      </c>
      <c r="F3" t="s" s="25">
        <v>43</v>
      </c>
      <c r="G3" t="s" s="25">
        <v>43</v>
      </c>
      <c r="H3" t="s" s="25">
        <v>44</v>
      </c>
      <c r="I3" t="s" s="25">
        <v>6</v>
      </c>
      <c r="J3" t="s" s="25">
        <v>45</v>
      </c>
      <c r="K3" t="s" s="25">
        <v>45</v>
      </c>
    </row>
    <row r="4" ht="20.25" customHeight="1">
      <c r="B4" s="26">
        <v>2015</v>
      </c>
      <c r="C4" s="27">
        <v>1069</v>
      </c>
      <c r="D4" s="9"/>
      <c r="E4" s="28">
        <v>85</v>
      </c>
      <c r="F4" s="29">
        <v>669</v>
      </c>
      <c r="G4" s="9"/>
      <c r="H4" s="10"/>
      <c r="I4" s="30">
        <f>(E4+F4-C4)/C4</f>
        <v>-0.29466791393826</v>
      </c>
      <c r="J4" s="30"/>
      <c r="K4" s="30">
        <f>('Cashflow '!D4+'Cashflow '!G4-'Cashflow '!C4)/'Cashflow '!C4</f>
        <v>-0.584377064255832</v>
      </c>
    </row>
    <row r="5" ht="20.05" customHeight="1">
      <c r="B5" s="31"/>
      <c r="C5" s="32">
        <v>1072</v>
      </c>
      <c r="D5" s="33"/>
      <c r="E5" s="34">
        <v>87</v>
      </c>
      <c r="F5" s="19">
        <v>509</v>
      </c>
      <c r="G5" s="33"/>
      <c r="H5" s="17">
        <f>C5/C4-1</f>
        <v>0.00280636108512629</v>
      </c>
      <c r="I5" s="17">
        <f>(E5+F5-C5)/C5</f>
        <v>-0.444029850746269</v>
      </c>
      <c r="J5" s="17"/>
      <c r="K5" s="17">
        <f>('Cashflow '!D5+'Cashflow '!G5-'Cashflow '!C5)/'Cashflow '!C5</f>
        <v>-0.292236721652815</v>
      </c>
    </row>
    <row r="6" ht="20.05" customHeight="1">
      <c r="B6" s="31"/>
      <c r="C6" s="32">
        <v>1133</v>
      </c>
      <c r="D6" s="33"/>
      <c r="E6" s="34">
        <v>107</v>
      </c>
      <c r="F6" s="19">
        <v>448</v>
      </c>
      <c r="G6" s="33"/>
      <c r="H6" s="17">
        <f>C6/C5-1</f>
        <v>0.0569029850746269</v>
      </c>
      <c r="I6" s="17">
        <f>(E6+F6-C6)/C6</f>
        <v>-0.510150044130627</v>
      </c>
      <c r="J6" s="17"/>
      <c r="K6" s="17">
        <f>('Cashflow '!D6+'Cashflow '!G6-'Cashflow '!C6)/'Cashflow '!C6</f>
        <v>-0.974850495617269</v>
      </c>
    </row>
    <row r="7" ht="20.05" customHeight="1">
      <c r="B7" s="31"/>
      <c r="C7" s="32">
        <v>1196</v>
      </c>
      <c r="D7" s="33"/>
      <c r="E7" s="34">
        <v>110</v>
      </c>
      <c r="F7" s="19">
        <v>1331</v>
      </c>
      <c r="G7" s="19">
        <f>AVERAGE(F4:F7)</f>
        <v>739.25</v>
      </c>
      <c r="H7" s="17">
        <f>C7/C6-1</f>
        <v>0.0556045895851721</v>
      </c>
      <c r="I7" s="13"/>
      <c r="J7" s="17"/>
      <c r="K7" s="17">
        <f>('Cashflow '!D7+'Cashflow '!G7-'Cashflow '!C7)/'Cashflow '!C7</f>
        <v>-0.438592592592593</v>
      </c>
    </row>
    <row r="8" ht="20.05" customHeight="1">
      <c r="B8" s="35">
        <v>2016</v>
      </c>
      <c r="C8" s="32">
        <v>1170</v>
      </c>
      <c r="D8" s="33"/>
      <c r="E8" s="34">
        <v>109</v>
      </c>
      <c r="F8" s="19">
        <v>519</v>
      </c>
      <c r="G8" s="19">
        <f>AVERAGE(F5:F8)</f>
        <v>701.75</v>
      </c>
      <c r="H8" s="17">
        <f>C8/C7-1</f>
        <v>-0.0217391304347826</v>
      </c>
      <c r="I8" s="17">
        <f>(E8+F8-C8)/C8</f>
        <v>-0.463247863247863</v>
      </c>
      <c r="J8" s="17">
        <f>AVERAGE(K5:K8)</f>
        <v>-0.569302228102619</v>
      </c>
      <c r="K8" s="17">
        <f>('Cashflow '!D8+'Cashflow '!G8-'Cashflow '!C8)/'Cashflow '!C8</f>
        <v>-0.571529102547798</v>
      </c>
    </row>
    <row r="9" ht="20.05" customHeight="1">
      <c r="B9" s="31"/>
      <c r="C9" s="32">
        <v>1253</v>
      </c>
      <c r="D9" s="33"/>
      <c r="E9" s="34">
        <v>110</v>
      </c>
      <c r="F9" s="19">
        <v>809</v>
      </c>
      <c r="G9" s="19">
        <f>AVERAGE(F6:F9)</f>
        <v>776.75</v>
      </c>
      <c r="H9" s="17">
        <f>C9/C8-1</f>
        <v>0.0709401709401709</v>
      </c>
      <c r="I9" s="17">
        <f>(E9+F9-C9)/C9</f>
        <v>-0.266560255387071</v>
      </c>
      <c r="J9" s="17">
        <f>AVERAGE(K6:K9)</f>
        <v>-0.572140438278804</v>
      </c>
      <c r="K9" s="17">
        <f>('Cashflow '!D9+'Cashflow '!G9-'Cashflow '!C9)/'Cashflow '!C9</f>
        <v>-0.303589562357557</v>
      </c>
    </row>
    <row r="10" ht="20.05" customHeight="1">
      <c r="B10" s="31"/>
      <c r="C10" s="32">
        <v>1309</v>
      </c>
      <c r="D10" s="33"/>
      <c r="E10" s="34">
        <v>120</v>
      </c>
      <c r="F10" s="19">
        <v>598</v>
      </c>
      <c r="G10" s="19">
        <f>AVERAGE(F7:F10)</f>
        <v>814.25</v>
      </c>
      <c r="H10" s="17">
        <f>C10/C9-1</f>
        <v>0.0446927374301676</v>
      </c>
      <c r="I10" s="17">
        <f>(E10+F10-C10)/C10</f>
        <v>-0.451489686783804</v>
      </c>
      <c r="J10" s="17">
        <f>AVERAGE(K7:K10)</f>
        <v>-0.519621859088922</v>
      </c>
      <c r="K10" s="17">
        <f>('Cashflow '!D10+'Cashflow '!G10-'Cashflow '!C10)/'Cashflow '!C10</f>
        <v>-0.76477617885774</v>
      </c>
    </row>
    <row r="11" ht="20.05" customHeight="1">
      <c r="B11" s="31"/>
      <c r="C11" s="32">
        <v>1321</v>
      </c>
      <c r="D11" s="33"/>
      <c r="E11" s="34">
        <v>846</v>
      </c>
      <c r="F11" s="19">
        <v>-161</v>
      </c>
      <c r="G11" s="19">
        <f>AVERAGE(F8:F11)</f>
        <v>441.25</v>
      </c>
      <c r="H11" s="17">
        <f>C11/C10-1</f>
        <v>0.009167303284950339</v>
      </c>
      <c r="I11" s="17">
        <f>(E11+F11-C11)/C11</f>
        <v>-0.481453444360333</v>
      </c>
      <c r="J11" s="17">
        <f>AVERAGE(K8:K11)</f>
        <v>-0.509155805344392</v>
      </c>
      <c r="K11" s="17">
        <f>('Cashflow '!D11+'Cashflow '!G11-'Cashflow '!C11)/'Cashflow '!C11</f>
        <v>-0.396728377614471</v>
      </c>
    </row>
    <row r="12" ht="20.05" customHeight="1">
      <c r="B12" s="35">
        <v>2017</v>
      </c>
      <c r="C12" s="32">
        <v>1313</v>
      </c>
      <c r="D12" s="33"/>
      <c r="E12" s="34">
        <v>221</v>
      </c>
      <c r="F12" s="19">
        <v>562</v>
      </c>
      <c r="G12" s="19">
        <f>AVERAGE(F9:F12)</f>
        <v>452</v>
      </c>
      <c r="H12" s="17">
        <f>C12/C11-1</f>
        <v>-0.0060560181680545</v>
      </c>
      <c r="I12" s="17">
        <f>(E12+F12-C12)/C12</f>
        <v>-0.403655750190404</v>
      </c>
      <c r="J12" s="17">
        <f>AVERAGE(K9:K12)</f>
        <v>-0.459715678063392</v>
      </c>
      <c r="K12" s="17">
        <f>('Cashflow '!D12+'Cashflow '!G12-'Cashflow '!C12)/'Cashflow '!C12</f>
        <v>-0.3737685934238</v>
      </c>
    </row>
    <row r="13" ht="20.05" customHeight="1">
      <c r="B13" s="31"/>
      <c r="C13" s="32">
        <v>1330</v>
      </c>
      <c r="D13" s="33"/>
      <c r="E13" s="34">
        <v>219</v>
      </c>
      <c r="F13" s="19">
        <v>533</v>
      </c>
      <c r="G13" s="19">
        <f>AVERAGE(F10:F13)</f>
        <v>383</v>
      </c>
      <c r="H13" s="17">
        <f>C13/C12-1</f>
        <v>0.0129474485910129</v>
      </c>
      <c r="I13" s="17">
        <f>(E13+F13-C13)/C13</f>
        <v>-0.434586466165414</v>
      </c>
      <c r="J13" s="17">
        <f>AVERAGE(K10:K13)</f>
        <v>-0.472519030447875</v>
      </c>
      <c r="K13" s="17">
        <f>('Cashflow '!D13+'Cashflow '!G13-'Cashflow '!C13)/'Cashflow '!C13</f>
        <v>-0.354802971895489</v>
      </c>
    </row>
    <row r="14" ht="20.05" customHeight="1">
      <c r="B14" s="31"/>
      <c r="C14" s="32">
        <v>1335</v>
      </c>
      <c r="D14" s="33"/>
      <c r="E14" s="34">
        <v>224</v>
      </c>
      <c r="F14" s="19">
        <v>532</v>
      </c>
      <c r="G14" s="19">
        <f>AVERAGE(F11:F14)</f>
        <v>366.5</v>
      </c>
      <c r="H14" s="17">
        <f>C14/C13-1</f>
        <v>0.0037593984962406</v>
      </c>
      <c r="I14" s="17">
        <f>(E14+F14-C14)/C14</f>
        <v>-0.433707865168539</v>
      </c>
      <c r="J14" s="17">
        <f>AVERAGE(K11:K14)</f>
        <v>-0.524602429580324</v>
      </c>
      <c r="K14" s="17">
        <f>('Cashflow '!D14+'Cashflow '!G14-'Cashflow '!C14)/'Cashflow '!C14</f>
        <v>-0.973109775387536</v>
      </c>
    </row>
    <row r="15" ht="20.05" customHeight="1">
      <c r="B15" s="31"/>
      <c r="C15" s="32">
        <v>1360</v>
      </c>
      <c r="D15" s="33"/>
      <c r="E15" s="34">
        <v>231</v>
      </c>
      <c r="F15" s="19">
        <v>473</v>
      </c>
      <c r="G15" s="19">
        <f>AVERAGE(F12:F15)</f>
        <v>525</v>
      </c>
      <c r="H15" s="17">
        <f>C15/C14-1</f>
        <v>0.0187265917602996</v>
      </c>
      <c r="I15" s="17">
        <f>(E15+F15-C15)/C15</f>
        <v>-0.482352941176471</v>
      </c>
      <c r="J15" s="17">
        <f>AVERAGE(K12:K15)</f>
        <v>-0.566057080216476</v>
      </c>
      <c r="K15" s="17">
        <f>('Cashflow '!D15+'Cashflow '!G15-'Cashflow '!C15)/'Cashflow '!C15</f>
        <v>-0.562546980159077</v>
      </c>
    </row>
    <row r="16" ht="20.05" customHeight="1">
      <c r="B16" s="35">
        <v>2018</v>
      </c>
      <c r="C16" s="32">
        <v>1362</v>
      </c>
      <c r="D16" s="33"/>
      <c r="E16" s="34">
        <v>232</v>
      </c>
      <c r="F16" s="19">
        <v>519</v>
      </c>
      <c r="G16" s="19">
        <f>AVERAGE(F13:F16)</f>
        <v>514.25</v>
      </c>
      <c r="H16" s="17">
        <f>C16/C15-1</f>
        <v>0.00147058823529412</v>
      </c>
      <c r="I16" s="17">
        <f>(E16+F16-C16)/C16</f>
        <v>-0.448604992657856</v>
      </c>
      <c r="J16" s="17">
        <f>AVERAGE(K13:K16)</f>
        <v>-0.65949510200529</v>
      </c>
      <c r="K16" s="17">
        <f>('Cashflow '!D16+'Cashflow '!G16-'Cashflow '!C16)/'Cashflow '!C16</f>
        <v>-0.747520680579056</v>
      </c>
    </row>
    <row r="17" ht="20.05" customHeight="1">
      <c r="B17" s="31"/>
      <c r="C17" s="32">
        <v>1443</v>
      </c>
      <c r="D17" s="33"/>
      <c r="E17" s="34">
        <v>257</v>
      </c>
      <c r="F17" s="19">
        <v>561</v>
      </c>
      <c r="G17" s="19">
        <f>AVERAGE(F14:F17)</f>
        <v>521.25</v>
      </c>
      <c r="H17" s="17">
        <f>C17/C16-1</f>
        <v>0.0594713656387665</v>
      </c>
      <c r="I17" s="17">
        <f>(E17+F17-C17)/C17</f>
        <v>-0.433125433125433</v>
      </c>
      <c r="J17" s="17">
        <f>AVERAGE(K14:K17)</f>
        <v>-0.6528521669306599</v>
      </c>
      <c r="K17" s="17">
        <f>('Cashflow '!D17+'Cashflow '!G17-'Cashflow '!C17)/'Cashflow '!C17</f>
        <v>-0.328231231596971</v>
      </c>
    </row>
    <row r="18" ht="20.05" customHeight="1">
      <c r="B18" s="31"/>
      <c r="C18" s="32">
        <v>1540</v>
      </c>
      <c r="D18" s="33"/>
      <c r="E18" s="34">
        <v>313</v>
      </c>
      <c r="F18" s="19">
        <v>626</v>
      </c>
      <c r="G18" s="19">
        <f>AVERAGE(F15:F18)</f>
        <v>544.75</v>
      </c>
      <c r="H18" s="17">
        <f>C18/C17-1</f>
        <v>0.0672210672210672</v>
      </c>
      <c r="I18" s="17">
        <f>(E18+F18-C18)/C18</f>
        <v>-0.39025974025974</v>
      </c>
      <c r="J18" s="17">
        <f>AVERAGE(K15:K18)</f>
        <v>-0.531203121793419</v>
      </c>
      <c r="K18" s="17">
        <f>('Cashflow '!D18+'Cashflow '!G18-'Cashflow '!C18)/'Cashflow '!C18</f>
        <v>-0.48651359483857</v>
      </c>
    </row>
    <row r="19" ht="20.05" customHeight="1">
      <c r="B19" s="31"/>
      <c r="C19" s="32">
        <v>1523</v>
      </c>
      <c r="D19" s="33"/>
      <c r="E19" s="34">
        <v>312</v>
      </c>
      <c r="F19" s="19">
        <v>494</v>
      </c>
      <c r="G19" s="19">
        <f>AVERAGE(F16:F19)</f>
        <v>550</v>
      </c>
      <c r="H19" s="17">
        <f>C19/C18-1</f>
        <v>-0.011038961038961</v>
      </c>
      <c r="I19" s="17">
        <f>(E19+F19-C19)/C19</f>
        <v>-0.470781352593565</v>
      </c>
      <c r="J19" s="17">
        <f>AVERAGE(K16:K19)</f>
        <v>-0.638365783222137</v>
      </c>
      <c r="K19" s="17">
        <f>('Cashflow '!D19+'Cashflow '!G19-'Cashflow '!C19)/'Cashflow '!C19</f>
        <v>-0.99119762587395</v>
      </c>
    </row>
    <row r="20" ht="20.05" customHeight="1">
      <c r="B20" s="35">
        <v>2019</v>
      </c>
      <c r="C20" s="32">
        <v>1482</v>
      </c>
      <c r="D20" s="33"/>
      <c r="E20" s="34">
        <v>329</v>
      </c>
      <c r="F20" s="19">
        <v>472</v>
      </c>
      <c r="G20" s="19">
        <f>AVERAGE(F17:F20)</f>
        <v>538.25</v>
      </c>
      <c r="H20" s="17">
        <f>C20/C19-1</f>
        <v>-0.0269205515430072</v>
      </c>
      <c r="I20" s="17">
        <f>(E20+F20-C20)/C20</f>
        <v>-0.459514170040486</v>
      </c>
      <c r="J20" s="17">
        <f>AVERAGE(K17:K20)</f>
        <v>-0.6245452902337399</v>
      </c>
      <c r="K20" s="17">
        <f>('Cashflow '!D20+'Cashflow '!G20-'Cashflow '!C20)/'Cashflow '!C20</f>
        <v>-0.692238708625469</v>
      </c>
    </row>
    <row r="21" ht="20.05" customHeight="1">
      <c r="B21" s="31"/>
      <c r="C21" s="32">
        <v>1546</v>
      </c>
      <c r="D21" s="33"/>
      <c r="E21" s="34">
        <v>348</v>
      </c>
      <c r="F21" s="19">
        <v>521</v>
      </c>
      <c r="G21" s="19">
        <f>AVERAGE(F18:F21)</f>
        <v>528.25</v>
      </c>
      <c r="H21" s="17">
        <f>C21/C20-1</f>
        <v>0.0431848852901484</v>
      </c>
      <c r="I21" s="17">
        <f>(E21+F21-C21)/C21</f>
        <v>-0.437904269081501</v>
      </c>
      <c r="J21" s="17">
        <f>AVERAGE(K18:K21)</f>
        <v>-0.626446777991254</v>
      </c>
      <c r="K21" s="17">
        <f>('Cashflow '!D21+'Cashflow '!G21-'Cashflow '!C21)/'Cashflow '!C21</f>
        <v>-0.335837182627027</v>
      </c>
    </row>
    <row r="22" ht="20.05" customHeight="1">
      <c r="B22" s="31"/>
      <c r="C22" s="32">
        <v>1627</v>
      </c>
      <c r="D22" s="33"/>
      <c r="E22" s="34">
        <v>368</v>
      </c>
      <c r="F22" s="19">
        <v>604</v>
      </c>
      <c r="G22" s="19">
        <f>AVERAGE(F19:F22)</f>
        <v>522.75</v>
      </c>
      <c r="H22" s="17">
        <f>C22/C21-1</f>
        <v>0.0523932729624838</v>
      </c>
      <c r="I22" s="17">
        <f>(E22+F22-C22)/C22</f>
        <v>-0.402581438229871</v>
      </c>
      <c r="J22" s="17">
        <f>AVERAGE(K19:K22)</f>
        <v>-0.628726433502368</v>
      </c>
      <c r="K22" s="17">
        <f>('Cashflow '!D22+'Cashflow '!G22-'Cashflow '!C22)/'Cashflow '!C22</f>
        <v>-0.495632216883024</v>
      </c>
    </row>
    <row r="23" ht="20.05" customHeight="1">
      <c r="B23" s="31"/>
      <c r="C23" s="32">
        <v>1799</v>
      </c>
      <c r="D23" s="33"/>
      <c r="E23" s="34">
        <v>305</v>
      </c>
      <c r="F23" s="19">
        <v>756</v>
      </c>
      <c r="G23" s="19">
        <f>AVERAGE(F20:F23)</f>
        <v>588.25</v>
      </c>
      <c r="H23" s="17">
        <f>C23/C22-1</f>
        <v>0.105716041794714</v>
      </c>
      <c r="I23" s="17">
        <f>(E23+F23-C23)/C23</f>
        <v>-0.410227904391329</v>
      </c>
      <c r="J23" s="17">
        <f>AVERAGE(K20:K23)</f>
        <v>-0.708401291739763</v>
      </c>
      <c r="K23" s="17">
        <f>('Cashflow '!D23+'Cashflow '!G23-'Cashflow '!C23)/'Cashflow '!C23</f>
        <v>-1.30989705882353</v>
      </c>
    </row>
    <row r="24" ht="20.05" customHeight="1">
      <c r="B24" s="35">
        <v>2020</v>
      </c>
      <c r="C24" s="32">
        <v>1820</v>
      </c>
      <c r="D24" s="33"/>
      <c r="E24" s="34">
        <f>169.1+30.7+197.4</f>
        <v>397.2</v>
      </c>
      <c r="F24" s="19">
        <v>526</v>
      </c>
      <c r="G24" s="19">
        <f>AVERAGE(F21:F24)</f>
        <v>601.75</v>
      </c>
      <c r="H24" s="17">
        <f>C24/C23-1</f>
        <v>0.0116731517509728</v>
      </c>
      <c r="I24" s="17">
        <f>(E24+F24-C24)/C24</f>
        <v>-0.492747252747253</v>
      </c>
      <c r="J24" s="17">
        <f>AVERAGE(K21:K24)</f>
        <v>-0.616687406731941</v>
      </c>
      <c r="K24" s="17">
        <f>('Cashflow '!D24+'Cashflow '!G24-'Cashflow '!C24)/'Cashflow '!C24</f>
        <v>-0.325383168594181</v>
      </c>
    </row>
    <row r="25" ht="20.05" customHeight="1">
      <c r="B25" s="31"/>
      <c r="C25" s="32">
        <v>1865</v>
      </c>
      <c r="D25" s="34">
        <v>1808.82</v>
      </c>
      <c r="E25" s="34">
        <f>418+355.6+63.7-E24</f>
        <v>440.1</v>
      </c>
      <c r="F25" s="19">
        <f>1316-F24</f>
        <v>790</v>
      </c>
      <c r="G25" s="19">
        <f>AVERAGE(F22:F25)</f>
        <v>669</v>
      </c>
      <c r="H25" s="17">
        <f>C25/C24-1</f>
        <v>0.0247252747252747</v>
      </c>
      <c r="I25" s="17">
        <f>(E25+F25-C25)/C25</f>
        <v>-0.340428954423592</v>
      </c>
      <c r="J25" s="17">
        <f>AVERAGE(K22:K25)</f>
        <v>-0.619378162443092</v>
      </c>
      <c r="K25" s="17">
        <f>('Cashflow '!D25+'Cashflow '!G25-'Cashflow '!C25)/'Cashflow '!C25</f>
        <v>-0.346600205471633</v>
      </c>
    </row>
    <row r="26" ht="20.05" customHeight="1">
      <c r="B26" s="31"/>
      <c r="C26" s="32">
        <f>5555-SUM(C24:C25)</f>
        <v>1870</v>
      </c>
      <c r="D26" s="34">
        <v>1871.05</v>
      </c>
      <c r="E26" s="34">
        <f>558.1+94.7+641.5-SUM(E24:E25)</f>
        <v>457</v>
      </c>
      <c r="F26" s="19">
        <f>1928-F25-F24</f>
        <v>612</v>
      </c>
      <c r="G26" s="19">
        <f>AVERAGE(F23:F26)</f>
        <v>671</v>
      </c>
      <c r="H26" s="17">
        <f>C26/C25-1</f>
        <v>0.00268096514745308</v>
      </c>
      <c r="I26" s="17">
        <f>(E26+F26-C26)/C26</f>
        <v>-0.428342245989305</v>
      </c>
      <c r="J26" s="17">
        <f>AVERAGE(K23:K26)</f>
        <v>-0.584196898673265</v>
      </c>
      <c r="K26" s="17">
        <f>('Cashflow '!D26+'Cashflow '!G26-'Cashflow '!C26)/'Cashflow '!C26</f>
        <v>-0.354907161803714</v>
      </c>
    </row>
    <row r="27" ht="20.05" customHeight="1">
      <c r="B27" s="31"/>
      <c r="C27" s="32">
        <f>7445.4-SUM(C24:C26)</f>
        <v>1890.4</v>
      </c>
      <c r="D27" s="34">
        <v>1851.3</v>
      </c>
      <c r="E27" s="34">
        <f>611.8+123.2+816.6-SUM(E24:E26)</f>
        <v>257.3</v>
      </c>
      <c r="F27" s="19">
        <f>2853.6-SUM(F24:F26)</f>
        <v>925.6</v>
      </c>
      <c r="G27" s="19">
        <f>AVERAGE(F24:F27)</f>
        <v>713.4</v>
      </c>
      <c r="H27" s="17">
        <f>C27/C26-1</f>
        <v>0.0109090909090909</v>
      </c>
      <c r="I27" s="17">
        <f>(E27+F27-C27)/C27</f>
        <v>-0.374259415996614</v>
      </c>
      <c r="J27" s="17">
        <f>AVERAGE(K24:K27)</f>
        <v>-0.411200167377884</v>
      </c>
      <c r="K27" s="17">
        <f>('Cashflow '!D27+'Cashflow '!G27-'Cashflow '!C27)/'Cashflow '!C27</f>
        <v>-0.617910133642008</v>
      </c>
    </row>
    <row r="28" ht="20.05" customHeight="1">
      <c r="B28" s="35">
        <v>2021</v>
      </c>
      <c r="C28" s="32">
        <v>1956.5</v>
      </c>
      <c r="D28" s="34">
        <v>1906.839</v>
      </c>
      <c r="E28" s="34">
        <f>164.6+30.8+209.7</f>
        <v>405.1</v>
      </c>
      <c r="F28" s="19">
        <v>794.5</v>
      </c>
      <c r="G28" s="19">
        <f>AVERAGE(F25:F28)</f>
        <v>780.525</v>
      </c>
      <c r="H28" s="17">
        <f>C28/C27-1</f>
        <v>0.0349661447312738</v>
      </c>
      <c r="I28" s="17">
        <f>(E28+F28-C28)/C28</f>
        <v>-0.386864298492205</v>
      </c>
      <c r="J28" s="17">
        <f>AVERAGE(K25:K28)</f>
        <v>-0.446501688646419</v>
      </c>
      <c r="K28" s="17">
        <f>('Cashflow '!D28+'Cashflow '!G28-'Cashflow '!C28)/'Cashflow '!C28</f>
        <v>-0.46658925366832</v>
      </c>
    </row>
    <row r="29" ht="20.05" customHeight="1">
      <c r="B29" s="31"/>
      <c r="C29" s="32">
        <f>3971.8-C28</f>
        <v>2015.3</v>
      </c>
      <c r="D29" s="19">
        <f>'Model'!C6</f>
        <v>2137.206</v>
      </c>
      <c r="E29" s="36">
        <f>333+61.6+419.7-E28</f>
        <v>409.2</v>
      </c>
      <c r="F29" s="19">
        <f>1700.7-F28</f>
        <v>906.2</v>
      </c>
      <c r="G29" s="19">
        <f>AVERAGE(F26:F29)</f>
        <v>809.575</v>
      </c>
      <c r="H29" s="17">
        <f>C29/C28-1</f>
        <v>0.0300536672629696</v>
      </c>
      <c r="I29" s="17">
        <f>(E29+F29-C29)/C29</f>
        <v>-0.347293206966705</v>
      </c>
      <c r="J29" s="17">
        <f>AVERAGE(K26:K29)</f>
        <v>-0.443797043987566</v>
      </c>
      <c r="K29" s="17">
        <f>('Cashflow '!D29+'Cashflow '!G29-'Cashflow '!C29)/'Cashflow '!C29</f>
        <v>-0.33578162683622</v>
      </c>
    </row>
    <row r="30" ht="20.05" customHeight="1">
      <c r="B30" s="31"/>
      <c r="C30" s="32">
        <f>6067.1-SUM(C28:C29)</f>
        <v>2095.3</v>
      </c>
      <c r="D30" s="19">
        <v>2015.3</v>
      </c>
      <c r="E30" s="22">
        <v>409</v>
      </c>
      <c r="F30" s="19">
        <f>2608.5-SUM(F28:F29)</f>
        <v>907.8</v>
      </c>
      <c r="G30" s="19">
        <f>AVERAGE(F27:F30)</f>
        <v>883.525</v>
      </c>
      <c r="H30" s="17">
        <f>C30/C29-1</f>
        <v>0.0396963231280703</v>
      </c>
      <c r="I30" s="17">
        <f>(E30+F30-C30)/C30</f>
        <v>-0.37154584069107</v>
      </c>
      <c r="J30" s="17">
        <f>AVERAGE(K27:K30)</f>
        <v>-0.464631641207517</v>
      </c>
      <c r="K30" s="17">
        <f>('Cashflow '!D30+'Cashflow '!G30-'Cashflow '!C30)/'Cashflow '!C30</f>
        <v>-0.438245550683518</v>
      </c>
    </row>
    <row r="31" ht="20.05" customHeight="1">
      <c r="B31" s="31"/>
      <c r="C31" s="32"/>
      <c r="D31" s="19">
        <f>'Model'!C6</f>
        <v>2137.206</v>
      </c>
      <c r="E31" s="33"/>
      <c r="F31" s="33"/>
      <c r="G31" s="19">
        <f>AVERAGE('Model'!C10:F10)</f>
        <v>797.548424608960</v>
      </c>
      <c r="H31" s="13"/>
      <c r="I31" s="17">
        <f>'Model'!C7</f>
        <v>-0.443797043987566</v>
      </c>
      <c r="J31" s="33"/>
      <c r="K31" s="17"/>
    </row>
    <row r="32" ht="20.05" customHeight="1">
      <c r="B32" s="35">
        <v>2022</v>
      </c>
      <c r="C32" s="32"/>
      <c r="D32" s="19">
        <f>'Model'!D6</f>
        <v>2115.83394</v>
      </c>
      <c r="E32" s="33"/>
      <c r="F32" s="33"/>
      <c r="G32" s="33"/>
      <c r="H32" s="33"/>
      <c r="I32" s="33"/>
      <c r="J32" s="37"/>
      <c r="K32" s="37"/>
    </row>
    <row r="33" ht="20.05" customHeight="1">
      <c r="B33" s="31"/>
      <c r="C33" s="32"/>
      <c r="D33" s="19">
        <f>'Model'!E6</f>
        <v>2179.3089582</v>
      </c>
      <c r="E33" s="33"/>
      <c r="F33" s="33"/>
      <c r="G33" s="33"/>
      <c r="H33" s="33"/>
      <c r="I33" s="33"/>
      <c r="J33" s="37"/>
      <c r="K33" s="37"/>
    </row>
    <row r="34" ht="20.05" customHeight="1">
      <c r="B34" s="31"/>
      <c r="C34" s="32"/>
      <c r="D34" s="19">
        <f>'Model'!F6</f>
        <v>2244.688226946</v>
      </c>
      <c r="E34" s="33"/>
      <c r="F34" s="33"/>
      <c r="G34" s="33"/>
      <c r="H34" s="33"/>
      <c r="I34" s="33"/>
      <c r="J34" s="37"/>
      <c r="K34" s="37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N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32812" style="38" customWidth="1"/>
    <col min="2" max="2" width="7.47656" style="38" customWidth="1"/>
    <col min="3" max="14" width="10.3594" style="38" customWidth="1"/>
    <col min="15" max="16384" width="16.3516" style="38" customWidth="1"/>
  </cols>
  <sheetData>
    <row r="1" ht="27.7" customHeight="1"/>
    <row r="2" ht="27.65" customHeight="1">
      <c r="B2" t="s" s="2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2.25" customHeight="1">
      <c r="B3" t="s" s="25">
        <v>1</v>
      </c>
      <c r="C3" t="s" s="25">
        <v>46</v>
      </c>
      <c r="D3" t="s" s="25">
        <v>10</v>
      </c>
      <c r="E3" t="s" s="25">
        <v>11</v>
      </c>
      <c r="F3" t="s" s="25">
        <v>12</v>
      </c>
      <c r="G3" t="s" s="25">
        <v>47</v>
      </c>
      <c r="H3" t="s" s="25">
        <v>14</v>
      </c>
      <c r="I3" t="s" s="25">
        <v>15</v>
      </c>
      <c r="J3" t="s" s="25">
        <v>48</v>
      </c>
      <c r="K3" t="s" s="25">
        <v>49</v>
      </c>
      <c r="L3" t="s" s="25">
        <v>3</v>
      </c>
      <c r="M3" t="s" s="25">
        <v>50</v>
      </c>
      <c r="N3" s="6"/>
    </row>
    <row r="4" ht="20.25" customHeight="1">
      <c r="B4" s="26">
        <v>2015</v>
      </c>
      <c r="C4" s="39">
        <v>772.0700000000001</v>
      </c>
      <c r="D4" s="29">
        <v>417.89</v>
      </c>
      <c r="E4" s="29">
        <v>-289.42</v>
      </c>
      <c r="F4" s="29"/>
      <c r="G4" s="29">
        <v>-97</v>
      </c>
      <c r="H4" s="29"/>
      <c r="I4" s="29"/>
      <c r="J4" s="29">
        <v>-149.08</v>
      </c>
      <c r="K4" s="29">
        <f>G4+D4+E4</f>
        <v>31.47</v>
      </c>
      <c r="L4" s="40"/>
      <c r="M4" s="29">
        <f>-(J4-F4-G4)</f>
        <v>52.08</v>
      </c>
      <c r="N4" s="29"/>
    </row>
    <row r="5" ht="20.05" customHeight="1">
      <c r="B5" s="31"/>
      <c r="C5" s="18">
        <v>2785.55</v>
      </c>
      <c r="D5" s="19">
        <v>2024.11</v>
      </c>
      <c r="E5" s="19">
        <v>-776.38</v>
      </c>
      <c r="F5" s="19"/>
      <c r="G5" s="19">
        <v>-52.6</v>
      </c>
      <c r="H5" s="19"/>
      <c r="I5" s="19"/>
      <c r="J5" s="19">
        <v>-189.09</v>
      </c>
      <c r="K5" s="19">
        <f>G5+D5+E5</f>
        <v>1195.13</v>
      </c>
      <c r="L5" s="22"/>
      <c r="M5" s="19">
        <f>-(J5-F5-G5)+M4</f>
        <v>188.57</v>
      </c>
      <c r="N5" s="19"/>
    </row>
    <row r="6" ht="20.05" customHeight="1">
      <c r="B6" s="31"/>
      <c r="C6" s="18">
        <v>488.28</v>
      </c>
      <c r="D6" s="19">
        <v>205.68</v>
      </c>
      <c r="E6" s="19">
        <v>-861.8</v>
      </c>
      <c r="F6" s="19"/>
      <c r="G6" s="19">
        <v>-193.4</v>
      </c>
      <c r="H6" s="19"/>
      <c r="I6" s="19"/>
      <c r="J6" s="19">
        <v>-178.83</v>
      </c>
      <c r="K6" s="19">
        <f>G6+D6+E6</f>
        <v>-849.52</v>
      </c>
      <c r="L6" s="22"/>
      <c r="M6" s="19">
        <f>-(J6-F6-G6)+M5</f>
        <v>174</v>
      </c>
      <c r="N6" s="19"/>
    </row>
    <row r="7" ht="20.05" customHeight="1">
      <c r="B7" s="31"/>
      <c r="C7" s="18">
        <v>1080</v>
      </c>
      <c r="D7" s="19">
        <v>769.3200000000001</v>
      </c>
      <c r="E7" s="19">
        <v>-33.3</v>
      </c>
      <c r="F7" s="19"/>
      <c r="G7" s="19">
        <v>-163</v>
      </c>
      <c r="H7" s="19"/>
      <c r="I7" s="19"/>
      <c r="J7" s="19">
        <v>-189.7</v>
      </c>
      <c r="K7" s="19">
        <f>G7+D7+E7</f>
        <v>573.02</v>
      </c>
      <c r="L7" s="22"/>
      <c r="M7" s="19">
        <f>-(J7-F7-G7)+M6</f>
        <v>200.7</v>
      </c>
      <c r="N7" s="19"/>
    </row>
    <row r="8" ht="20.05" customHeight="1">
      <c r="B8" s="35">
        <v>2016</v>
      </c>
      <c r="C8" s="18">
        <v>707.67</v>
      </c>
      <c r="D8" s="19">
        <v>417.216</v>
      </c>
      <c r="E8" s="19">
        <v>-187.8</v>
      </c>
      <c r="F8" s="19"/>
      <c r="G8" s="19">
        <v>-114</v>
      </c>
      <c r="H8" s="19"/>
      <c r="I8" s="19"/>
      <c r="J8" s="19">
        <v>-181.19</v>
      </c>
      <c r="K8" s="19">
        <f>G8+D8+E8</f>
        <v>115.416</v>
      </c>
      <c r="L8" s="19">
        <f>AVERAGE(K5:K8)</f>
        <v>258.5115</v>
      </c>
      <c r="M8" s="19">
        <f>-(J8-F8-G8)+M7</f>
        <v>267.89</v>
      </c>
      <c r="N8" s="19"/>
    </row>
    <row r="9" ht="20.05" customHeight="1">
      <c r="B9" s="31"/>
      <c r="C9" s="18">
        <v>2773.04</v>
      </c>
      <c r="D9" s="19">
        <v>2099.174</v>
      </c>
      <c r="E9" s="19">
        <v>-4223.2</v>
      </c>
      <c r="F9" s="19"/>
      <c r="G9" s="19">
        <v>-168</v>
      </c>
      <c r="H9" s="19"/>
      <c r="I9" s="19"/>
      <c r="J9" s="19">
        <v>2781.09</v>
      </c>
      <c r="K9" s="19">
        <f>G9+D9+E9</f>
        <v>-2292.026</v>
      </c>
      <c r="L9" s="19">
        <f>AVERAGE(K6:K9)</f>
        <v>-613.2775</v>
      </c>
      <c r="M9" s="19">
        <f>-(J9-F9-G9)+M8</f>
        <v>-2681.2</v>
      </c>
      <c r="N9" s="19"/>
    </row>
    <row r="10" ht="20.05" customHeight="1">
      <c r="B10" s="31"/>
      <c r="C10" s="18">
        <v>602.49</v>
      </c>
      <c r="D10" s="19">
        <v>289.72</v>
      </c>
      <c r="E10" s="19">
        <v>961.7</v>
      </c>
      <c r="F10" s="19"/>
      <c r="G10" s="19">
        <v>-148</v>
      </c>
      <c r="H10" s="19"/>
      <c r="I10" s="19"/>
      <c r="J10" s="19">
        <v>-3276.4</v>
      </c>
      <c r="K10" s="19">
        <f>G10+D10+E10</f>
        <v>1103.42</v>
      </c>
      <c r="L10" s="19">
        <f>AVERAGE(K7:K10)</f>
        <v>-125.0425</v>
      </c>
      <c r="M10" s="19">
        <f>-(J10-F10-G10)+M9</f>
        <v>447.2</v>
      </c>
      <c r="N10" s="19"/>
    </row>
    <row r="11" ht="20.05" customHeight="1">
      <c r="B11" s="31"/>
      <c r="C11" s="18">
        <v>1415.2</v>
      </c>
      <c r="D11" s="19">
        <v>1026.75</v>
      </c>
      <c r="E11" s="19">
        <v>-275.85</v>
      </c>
      <c r="F11" s="19"/>
      <c r="G11" s="19">
        <v>-173</v>
      </c>
      <c r="H11" s="19"/>
      <c r="I11" s="19"/>
      <c r="J11" s="19">
        <v>550.78</v>
      </c>
      <c r="K11" s="19">
        <f>G11+D11+E11</f>
        <v>577.9</v>
      </c>
      <c r="L11" s="19">
        <f>AVERAGE(K8:K11)</f>
        <v>-123.8225</v>
      </c>
      <c r="M11" s="19">
        <f>-(J11-F11-G11)+M10</f>
        <v>-276.58</v>
      </c>
      <c r="N11" s="19"/>
    </row>
    <row r="12" ht="20.05" customHeight="1">
      <c r="B12" s="35">
        <v>2017</v>
      </c>
      <c r="C12" s="18">
        <v>1226.24</v>
      </c>
      <c r="D12" s="19">
        <v>920.91</v>
      </c>
      <c r="E12" s="19">
        <v>-221.9</v>
      </c>
      <c r="F12" s="19"/>
      <c r="G12" s="19">
        <v>-153</v>
      </c>
      <c r="H12" s="19"/>
      <c r="I12" s="19"/>
      <c r="J12" s="19">
        <v>-1169.5</v>
      </c>
      <c r="K12" s="19">
        <f>G12+D12+E12</f>
        <v>546.01</v>
      </c>
      <c r="L12" s="19">
        <f>AVERAGE(K9:K12)</f>
        <v>-16.174</v>
      </c>
      <c r="M12" s="19">
        <f>-(J12-F12-G12)+M11</f>
        <v>739.92</v>
      </c>
      <c r="N12" s="19">
        <f>-(K12-C12)</f>
        <v>680.23</v>
      </c>
    </row>
    <row r="13" ht="20.05" customHeight="1">
      <c r="B13" s="31"/>
      <c r="C13" s="18">
        <v>2428.08</v>
      </c>
      <c r="D13" s="19">
        <v>1738.59</v>
      </c>
      <c r="E13" s="19">
        <v>-262.1</v>
      </c>
      <c r="F13" s="19"/>
      <c r="G13" s="19">
        <v>-172</v>
      </c>
      <c r="H13" s="19"/>
      <c r="I13" s="19"/>
      <c r="J13" s="19">
        <v>843.71</v>
      </c>
      <c r="K13" s="19">
        <f>G13+D13+E13</f>
        <v>1304.49</v>
      </c>
      <c r="L13" s="19">
        <f>AVERAGE(K10:K13)</f>
        <v>882.955</v>
      </c>
      <c r="M13" s="19">
        <f>-(J13-F13-G13)+M12</f>
        <v>-275.79</v>
      </c>
      <c r="N13" s="19">
        <f>-(K13-C13)</f>
        <v>1123.59</v>
      </c>
    </row>
    <row r="14" ht="20.05" customHeight="1">
      <c r="B14" s="31"/>
      <c r="C14" s="18">
        <v>568.98</v>
      </c>
      <c r="D14" s="19">
        <v>135.3</v>
      </c>
      <c r="E14" s="19">
        <v>-396.8</v>
      </c>
      <c r="F14" s="19"/>
      <c r="G14" s="19">
        <v>-120</v>
      </c>
      <c r="H14" s="19"/>
      <c r="I14" s="19"/>
      <c r="J14" s="19">
        <v>-1233.61</v>
      </c>
      <c r="K14" s="19">
        <f>G14+D14+E14</f>
        <v>-381.5</v>
      </c>
      <c r="L14" s="19">
        <f>AVERAGE(K11:K14)</f>
        <v>511.725</v>
      </c>
      <c r="M14" s="19">
        <f>-(J14-F14-G14)+M13</f>
        <v>837.8200000000001</v>
      </c>
      <c r="N14" s="19">
        <f>-(K14-C14)</f>
        <v>950.48</v>
      </c>
    </row>
    <row r="15" ht="20.05" customHeight="1">
      <c r="B15" s="31"/>
      <c r="C15" s="18">
        <v>1144.1</v>
      </c>
      <c r="D15" s="19">
        <v>659.49</v>
      </c>
      <c r="E15" s="19">
        <v>-423.7</v>
      </c>
      <c r="F15" s="19"/>
      <c r="G15" s="19">
        <v>-159</v>
      </c>
      <c r="H15" s="19"/>
      <c r="I15" s="19"/>
      <c r="J15" s="19">
        <v>-1184.6</v>
      </c>
      <c r="K15" s="19">
        <f>G15+D15+E15</f>
        <v>76.79000000000001</v>
      </c>
      <c r="L15" s="19">
        <f>AVERAGE(K12:K15)</f>
        <v>386.4475</v>
      </c>
      <c r="M15" s="19">
        <f>-(J15-F15-G15)+M14</f>
        <v>1863.42</v>
      </c>
      <c r="N15" s="19">
        <f>-(K15-C15)</f>
        <v>1067.31</v>
      </c>
    </row>
    <row r="16" ht="20.05" customHeight="1">
      <c r="B16" s="35">
        <v>2018</v>
      </c>
      <c r="C16" s="18">
        <v>851.04</v>
      </c>
      <c r="D16" s="19">
        <v>327.87</v>
      </c>
      <c r="E16" s="19">
        <v>-477.8</v>
      </c>
      <c r="F16" s="19"/>
      <c r="G16" s="19">
        <v>-113</v>
      </c>
      <c r="H16" s="19"/>
      <c r="I16" s="19"/>
      <c r="J16" s="19">
        <v>-941.9</v>
      </c>
      <c r="K16" s="19">
        <f>G16+D16+E16</f>
        <v>-262.93</v>
      </c>
      <c r="L16" s="19">
        <f>AVERAGE(K13:K16)</f>
        <v>184.2125</v>
      </c>
      <c r="M16" s="19">
        <f>-(J16-F16-G16)+M15</f>
        <v>2692.32</v>
      </c>
      <c r="N16" s="19">
        <f>-(K16-C16)</f>
        <v>1113.97</v>
      </c>
    </row>
    <row r="17" ht="20.05" customHeight="1">
      <c r="B17" s="31"/>
      <c r="C17" s="18">
        <v>2791.66</v>
      </c>
      <c r="D17" s="19">
        <v>2065.35</v>
      </c>
      <c r="E17" s="19">
        <v>-1992.2</v>
      </c>
      <c r="F17" s="19"/>
      <c r="G17" s="19">
        <v>-190</v>
      </c>
      <c r="H17" s="19"/>
      <c r="I17" s="19"/>
      <c r="J17" s="19">
        <v>521.5700000000001</v>
      </c>
      <c r="K17" s="19">
        <f>G17+D17+E17</f>
        <v>-116.85</v>
      </c>
      <c r="L17" s="19">
        <f>AVERAGE(K14:K17)</f>
        <v>-171.1225</v>
      </c>
      <c r="M17" s="19">
        <f>-(J17-F17-G17)+M16</f>
        <v>1980.75</v>
      </c>
      <c r="N17" s="19">
        <f>-(K17-C17)</f>
        <v>2908.51</v>
      </c>
    </row>
    <row r="18" ht="20.05" customHeight="1">
      <c r="B18" s="31"/>
      <c r="C18" s="18">
        <v>1475.56</v>
      </c>
      <c r="D18" s="19">
        <v>968.6799999999999</v>
      </c>
      <c r="E18" s="19">
        <v>-780.7</v>
      </c>
      <c r="F18" s="19"/>
      <c r="G18" s="19">
        <v>-211</v>
      </c>
      <c r="H18" s="19"/>
      <c r="I18" s="19"/>
      <c r="J18" s="19">
        <v>-891.91</v>
      </c>
      <c r="K18" s="19">
        <f>G18+D18+E18</f>
        <v>-23.02</v>
      </c>
      <c r="L18" s="19">
        <f>AVERAGE(K15:K18)</f>
        <v>-81.5025</v>
      </c>
      <c r="M18" s="19">
        <f>-(J18-F18-G18)+M17</f>
        <v>2661.66</v>
      </c>
      <c r="N18" s="19">
        <f>-(K18-C18)</f>
        <v>1498.58</v>
      </c>
    </row>
    <row r="19" ht="20.05" customHeight="1">
      <c r="B19" s="31"/>
      <c r="C19" s="18">
        <v>795.24</v>
      </c>
      <c r="D19" s="19">
        <v>259</v>
      </c>
      <c r="E19" s="19">
        <v>-1041.2</v>
      </c>
      <c r="F19" s="19"/>
      <c r="G19" s="19">
        <v>-252</v>
      </c>
      <c r="H19" s="19"/>
      <c r="I19" s="19"/>
      <c r="J19" s="19">
        <v>473.1</v>
      </c>
      <c r="K19" s="19">
        <f>G19+D19+E19</f>
        <v>-1034.2</v>
      </c>
      <c r="L19" s="19">
        <f>AVERAGE(K16:K19)</f>
        <v>-359.25</v>
      </c>
      <c r="M19" s="19">
        <f>-(J19-F19-G19)+M18</f>
        <v>1936.56</v>
      </c>
      <c r="N19" s="19">
        <f>-(K19-C19)</f>
        <v>1829.44</v>
      </c>
    </row>
    <row r="20" ht="20.05" customHeight="1">
      <c r="B20" s="35">
        <v>2019</v>
      </c>
      <c r="C20" s="18">
        <v>1226.6</v>
      </c>
      <c r="D20" s="19">
        <v>611.5</v>
      </c>
      <c r="E20" s="19">
        <v>-1004.7</v>
      </c>
      <c r="F20" s="19"/>
      <c r="G20" s="19">
        <v>-234</v>
      </c>
      <c r="H20" s="19"/>
      <c r="I20" s="19"/>
      <c r="J20" s="19">
        <v>-101.8</v>
      </c>
      <c r="K20" s="19">
        <f>G20+D20+E20</f>
        <v>-627.2</v>
      </c>
      <c r="L20" s="19">
        <f>AVERAGE(K17:K20)</f>
        <v>-450.3175</v>
      </c>
      <c r="M20" s="19">
        <f>-(J20-F20-G20)+M19</f>
        <v>1804.36</v>
      </c>
      <c r="N20" s="19">
        <f>-(K20-C20)</f>
        <v>1853.8</v>
      </c>
    </row>
    <row r="21" ht="20.05" customHeight="1">
      <c r="B21" s="31"/>
      <c r="C21" s="18">
        <v>3225.7</v>
      </c>
      <c r="D21" s="19">
        <v>2405.39</v>
      </c>
      <c r="E21" s="19">
        <v>-919.2</v>
      </c>
      <c r="F21" s="19"/>
      <c r="G21" s="19">
        <v>-263</v>
      </c>
      <c r="H21" s="19"/>
      <c r="I21" s="19"/>
      <c r="J21" s="19">
        <v>-64.61</v>
      </c>
      <c r="K21" s="19">
        <f>G21+D21+E21</f>
        <v>1223.19</v>
      </c>
      <c r="L21" s="19">
        <f>AVERAGE(K18:K21)</f>
        <v>-115.3075</v>
      </c>
      <c r="M21" s="19">
        <f>-(J21-F21-G21)+M20</f>
        <v>1605.97</v>
      </c>
      <c r="N21" s="19">
        <f>-(K21-C21)</f>
        <v>2002.51</v>
      </c>
    </row>
    <row r="22" ht="20.05" customHeight="1">
      <c r="B22" s="31"/>
      <c r="C22" s="18">
        <v>1394.3</v>
      </c>
      <c r="D22" s="19">
        <v>896.24</v>
      </c>
      <c r="E22" s="19">
        <v>-514.5</v>
      </c>
      <c r="F22" s="19"/>
      <c r="G22" s="19">
        <v>-193</v>
      </c>
      <c r="H22" s="19"/>
      <c r="I22" s="19"/>
      <c r="J22" s="19">
        <v>-13.09</v>
      </c>
      <c r="K22" s="19">
        <f>G22+D22+E22</f>
        <v>188.74</v>
      </c>
      <c r="L22" s="19">
        <f>AVERAGE(K19:K22)</f>
        <v>-62.3675</v>
      </c>
      <c r="M22" s="19">
        <f>-(J22-F22-G22)+M21</f>
        <v>1426.06</v>
      </c>
      <c r="N22" s="19">
        <f>-(K22-C22)</f>
        <v>1205.56</v>
      </c>
    </row>
    <row r="23" ht="20.05" customHeight="1">
      <c r="B23" s="31"/>
      <c r="C23" s="18">
        <v>680</v>
      </c>
      <c r="D23" s="19">
        <v>42.27</v>
      </c>
      <c r="E23" s="19">
        <v>-3091</v>
      </c>
      <c r="F23" s="19"/>
      <c r="G23" s="19">
        <v>-253</v>
      </c>
      <c r="H23" s="19"/>
      <c r="I23" s="19"/>
      <c r="J23" s="19">
        <v>1415.3</v>
      </c>
      <c r="K23" s="19">
        <f>G23+D23+E23</f>
        <v>-3301.73</v>
      </c>
      <c r="L23" s="19">
        <f>AVERAGE(K20:K23)</f>
        <v>-629.25</v>
      </c>
      <c r="M23" s="19">
        <f>-(J23-F23-G23)+M22</f>
        <v>-242.24</v>
      </c>
      <c r="N23" s="19">
        <f>-(K23-C23)</f>
        <v>3981.73</v>
      </c>
    </row>
    <row r="24" ht="20.05" customHeight="1">
      <c r="B24" s="35">
        <v>2020</v>
      </c>
      <c r="C24" s="18">
        <v>2498.9</v>
      </c>
      <c r="D24" s="19">
        <v>1900.8</v>
      </c>
      <c r="E24" s="19">
        <v>-2740</v>
      </c>
      <c r="F24" s="19">
        <v>-326</v>
      </c>
      <c r="G24" s="19">
        <v>-215</v>
      </c>
      <c r="H24" s="19"/>
      <c r="I24" s="19"/>
      <c r="J24" s="19">
        <v>1111.8</v>
      </c>
      <c r="K24" s="19">
        <f>G24+F24+D24+E24</f>
        <v>-1380.2</v>
      </c>
      <c r="L24" s="19">
        <f>AVERAGE(K21:K24)</f>
        <v>-817.5</v>
      </c>
      <c r="M24" s="19">
        <f>-(J24-F24-G24)+M23</f>
        <v>-1895.04</v>
      </c>
      <c r="N24" s="19">
        <f>-(K24-C24)</f>
        <v>3879.1</v>
      </c>
    </row>
    <row r="25" ht="20.05" customHeight="1">
      <c r="B25" s="31"/>
      <c r="C25" s="18">
        <f>5127-C24</f>
        <v>2628.1</v>
      </c>
      <c r="D25" s="19">
        <f>3835-D24</f>
        <v>1934.2</v>
      </c>
      <c r="E25" s="19">
        <f>-3947-E24</f>
        <v>-1207</v>
      </c>
      <c r="F25" s="19">
        <v>-326</v>
      </c>
      <c r="G25" s="19">
        <f>-432-G24</f>
        <v>-217</v>
      </c>
      <c r="H25" s="19"/>
      <c r="I25" s="19"/>
      <c r="J25" s="19">
        <f>959-J24</f>
        <v>-152.8</v>
      </c>
      <c r="K25" s="19">
        <f>G25+F25+D25+E25</f>
        <v>184.2</v>
      </c>
      <c r="L25" s="19">
        <f>AVERAGE(K22:K25)</f>
        <v>-1077.2475</v>
      </c>
      <c r="M25" s="19">
        <f>-(J25-F25-G25)+M24</f>
        <v>-2285.24</v>
      </c>
      <c r="N25" s="19">
        <f>-(K25-C25)</f>
        <v>2443.9</v>
      </c>
    </row>
    <row r="26" ht="20.05" customHeight="1">
      <c r="B26" s="31"/>
      <c r="C26" s="18">
        <f>7012-SUM(C24:C25)</f>
        <v>1885</v>
      </c>
      <c r="D26" s="19">
        <v>1495</v>
      </c>
      <c r="E26" s="19">
        <v>-653</v>
      </c>
      <c r="F26" s="19">
        <v>-326</v>
      </c>
      <c r="G26" s="19">
        <f>-656-55-SUM(G24:G25)</f>
        <v>-279</v>
      </c>
      <c r="H26" s="19"/>
      <c r="I26" s="19"/>
      <c r="J26" s="19">
        <f>277-SUM(J24:J25)</f>
        <v>-682</v>
      </c>
      <c r="K26" s="19">
        <f>G26+F26+D26+E26</f>
        <v>237</v>
      </c>
      <c r="L26" s="19">
        <f>AVERAGE(K23:K26)</f>
        <v>-1065.1825</v>
      </c>
      <c r="M26" s="19">
        <f>-(J26-F26-G26)+M25</f>
        <v>-2208.24</v>
      </c>
      <c r="N26" s="19">
        <f>-(K26-C26)</f>
        <v>1648</v>
      </c>
    </row>
    <row r="27" ht="20.05" customHeight="1">
      <c r="B27" s="31"/>
      <c r="C27" s="18">
        <f>7962.3-SUM(C24:C26)</f>
        <v>950.3</v>
      </c>
      <c r="D27" s="19">
        <f>5951.2-SUM(D24:D26)</f>
        <v>621.2</v>
      </c>
      <c r="E27" s="19">
        <f>-4156.9-SUM(E24:E26)</f>
        <v>443.1</v>
      </c>
      <c r="F27" s="19">
        <v>-326</v>
      </c>
      <c r="G27" s="19">
        <f>-862.3-106.8-SUM(G24:G26)</f>
        <v>-258.1</v>
      </c>
      <c r="H27" s="19"/>
      <c r="I27" s="19"/>
      <c r="J27" s="19">
        <f>-860-SUM(J24:J26)</f>
        <v>-1137</v>
      </c>
      <c r="K27" s="19">
        <f>G27+F27+D27+E27</f>
        <v>480.2</v>
      </c>
      <c r="L27" s="19">
        <f>AVERAGE(K24:K27)</f>
        <v>-119.7</v>
      </c>
      <c r="M27" s="19">
        <f>-(J27-F27-G27)+M26</f>
        <v>-1655.34</v>
      </c>
      <c r="N27" s="19">
        <f>-(K27-C27)</f>
        <v>470.1</v>
      </c>
    </row>
    <row r="28" ht="20.05" customHeight="1">
      <c r="B28" s="35">
        <v>2021</v>
      </c>
      <c r="C28" s="18">
        <v>1894.6</v>
      </c>
      <c r="D28" s="19">
        <v>1224.6</v>
      </c>
      <c r="E28" s="19">
        <v>-325.2</v>
      </c>
      <c r="F28" s="19">
        <v>-202.5</v>
      </c>
      <c r="G28" s="19">
        <f>-205.3-5.8-2.9</f>
        <v>-214</v>
      </c>
      <c r="H28" s="19">
        <f>-1090.592-G28-I28</f>
        <v>-846.9589999999999</v>
      </c>
      <c r="I28" s="19">
        <f>-22.433-7.2</f>
        <v>-29.633</v>
      </c>
      <c r="J28" s="19">
        <v>-1090.6</v>
      </c>
      <c r="K28" s="19">
        <f>G28+F28+D28+E28</f>
        <v>482.9</v>
      </c>
      <c r="L28" s="19">
        <f>AVERAGE(K25:K28)</f>
        <v>346.075</v>
      </c>
      <c r="M28" s="19">
        <f>-(J28-F28-G28)+M27</f>
        <v>-981.24</v>
      </c>
      <c r="N28" s="19">
        <f>-(K28-C28)</f>
        <v>1411.7</v>
      </c>
    </row>
    <row r="29" ht="20.05" customHeight="1">
      <c r="B29" s="31"/>
      <c r="C29" s="18">
        <f>5543.4-C28</f>
        <v>3648.8</v>
      </c>
      <c r="D29" s="19">
        <f>3896.2-D28</f>
        <v>2671.6</v>
      </c>
      <c r="E29" s="19">
        <f>-831.1-E28</f>
        <v>-505.9</v>
      </c>
      <c r="F29" s="19">
        <v>-202.5</v>
      </c>
      <c r="G29" s="19">
        <f>-395.3-56.3-10.4-G28</f>
        <v>-248</v>
      </c>
      <c r="H29" s="19">
        <f>-2878.081-F29-F28-G29-G28-H28-I29-I28</f>
        <v>49.724</v>
      </c>
      <c r="I29" s="19">
        <f>-1052.525-16.8-144.521-I28</f>
        <v>-1184.213</v>
      </c>
      <c r="J29" s="19">
        <f>-2878.1-J28</f>
        <v>-1787.5</v>
      </c>
      <c r="K29" s="19">
        <f>G29+F29+D29+E29</f>
        <v>1715.2</v>
      </c>
      <c r="L29" s="19">
        <f>AVERAGE(K26:K29)</f>
        <v>728.825</v>
      </c>
      <c r="M29" s="19">
        <f>-(J29-F29-G29)+M28</f>
        <v>355.76</v>
      </c>
      <c r="N29" s="19">
        <f>-(K29-C29)</f>
        <v>1933.6</v>
      </c>
    </row>
    <row r="30" ht="20.05" customHeight="1">
      <c r="B30" s="31"/>
      <c r="C30" s="18">
        <f>7481.9-SUM(C28:C29)</f>
        <v>1938.5</v>
      </c>
      <c r="D30" s="19">
        <f>5214.3-SUM(D28:D29)</f>
        <v>1318.1</v>
      </c>
      <c r="E30" s="19">
        <f>-1392.3-SUM(E28:E29)</f>
        <v>-561.2</v>
      </c>
      <c r="F30" s="19">
        <f>-629.5-SUM(F28:F29)</f>
        <v>-224.5</v>
      </c>
      <c r="G30" s="19">
        <f>-585.9-62.1-43.139-SUM(G28:G29)</f>
        <v>-229.139</v>
      </c>
      <c r="H30" s="19">
        <f>13491-F30-F29-F28-G30-G29-G28-H29-H28-I30-I29-I28</f>
        <v>16900.337</v>
      </c>
      <c r="I30" s="19">
        <f>-1122.642-24.3-144.521-I29-I28</f>
        <v>-77.617</v>
      </c>
      <c r="J30" s="19">
        <f>13491.7-SUM(J28:J29)</f>
        <v>16369.8</v>
      </c>
      <c r="K30" s="19">
        <f>G30+F30+D30+E30</f>
        <v>303.261</v>
      </c>
      <c r="L30" s="19">
        <f>AVERAGE(K27:K30)</f>
        <v>745.39025</v>
      </c>
      <c r="M30" s="19">
        <f>-(J30-F30-G30)+M29</f>
        <v>-16467.679</v>
      </c>
      <c r="N30" s="19">
        <f>-(K30-C30)</f>
        <v>1635.239</v>
      </c>
    </row>
    <row r="31" ht="20.05" customHeight="1">
      <c r="B31" s="31"/>
      <c r="C31" s="18"/>
      <c r="D31" s="19"/>
      <c r="E31" s="19"/>
      <c r="F31" s="19"/>
      <c r="G31" s="19"/>
      <c r="H31" s="19"/>
      <c r="I31" s="19"/>
      <c r="J31" s="19"/>
      <c r="K31" s="19"/>
      <c r="L31" s="19">
        <f>SUM('Model'!F11:F13)</f>
        <v>559.902227153680</v>
      </c>
      <c r="M31" s="19">
        <f>'Model'!F33</f>
        <v>-13497.8853015642</v>
      </c>
      <c r="N31" s="19"/>
    </row>
    <row r="32" ht="20.05" customHeight="1">
      <c r="B32" s="31"/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</sheetData>
  <mergeCells count="1">
    <mergeCell ref="B2:N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7.2422" style="41" customWidth="1"/>
    <col min="2" max="11" width="10.0234" style="41" customWidth="1"/>
    <col min="12" max="16384" width="16.3516" style="41" customWidth="1"/>
  </cols>
  <sheetData>
    <row r="1" ht="116.2" customHeight="1"/>
    <row r="2" ht="27.65" customHeight="1">
      <c r="B2" t="s" s="2">
        <v>51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25">
        <v>1</v>
      </c>
      <c r="C3" t="s" s="25">
        <v>52</v>
      </c>
      <c r="D3" t="s" s="25">
        <v>53</v>
      </c>
      <c r="E3" t="s" s="25">
        <v>23</v>
      </c>
      <c r="F3" t="s" s="25">
        <v>24</v>
      </c>
      <c r="G3" t="s" s="25">
        <v>14</v>
      </c>
      <c r="H3" t="s" s="25">
        <v>15</v>
      </c>
      <c r="I3" t="s" s="25">
        <v>26</v>
      </c>
      <c r="J3" t="s" s="25">
        <v>54</v>
      </c>
      <c r="K3" t="s" s="25">
        <v>35</v>
      </c>
    </row>
    <row r="4" ht="21.1" customHeight="1">
      <c r="B4" s="26">
        <v>2015</v>
      </c>
      <c r="C4" s="39">
        <v>2074</v>
      </c>
      <c r="D4" s="29">
        <v>17956</v>
      </c>
      <c r="E4" s="29">
        <f>D4-C4</f>
        <v>15882</v>
      </c>
      <c r="F4" s="29">
        <f>99+274</f>
        <v>373</v>
      </c>
      <c r="G4" s="29">
        <v>13158</v>
      </c>
      <c r="H4" s="29">
        <v>4798</v>
      </c>
      <c r="I4" s="29">
        <f>G4+H4-C4-E4</f>
        <v>0</v>
      </c>
      <c r="J4" s="29">
        <f>C4-G4</f>
        <v>-11084</v>
      </c>
      <c r="K4" s="29"/>
    </row>
    <row r="5" ht="21.1" customHeight="1">
      <c r="B5" s="31"/>
      <c r="C5" s="18">
        <v>3205</v>
      </c>
      <c r="D5" s="19">
        <v>18630</v>
      </c>
      <c r="E5" s="19">
        <f>D5-C5</f>
        <v>15425</v>
      </c>
      <c r="F5" s="19">
        <f>116+480</f>
        <v>596</v>
      </c>
      <c r="G5" s="19">
        <v>13475</v>
      </c>
      <c r="H5" s="19">
        <v>5155</v>
      </c>
      <c r="I5" s="19">
        <f>G5+H5-C5-E5</f>
        <v>0</v>
      </c>
      <c r="J5" s="19">
        <f>C5-G5</f>
        <v>-10270</v>
      </c>
      <c r="K5" s="19"/>
    </row>
    <row r="6" ht="21.1" customHeight="1">
      <c r="B6" s="31"/>
      <c r="C6" s="18">
        <v>2588</v>
      </c>
      <c r="D6" s="19">
        <v>19215</v>
      </c>
      <c r="E6" s="19">
        <f>D6-C6</f>
        <v>16627</v>
      </c>
      <c r="F6" s="19">
        <f>158+750</f>
        <v>908</v>
      </c>
      <c r="G6" s="19">
        <v>14072</v>
      </c>
      <c r="H6" s="19">
        <v>5143</v>
      </c>
      <c r="I6" s="19">
        <f>G6+H6-C6-E6</f>
        <v>0</v>
      </c>
      <c r="J6" s="19">
        <f>C6-G6</f>
        <v>-11484</v>
      </c>
      <c r="K6" s="19"/>
    </row>
    <row r="7" ht="21.1" customHeight="1">
      <c r="B7" s="31"/>
      <c r="C7" s="18">
        <v>2987</v>
      </c>
      <c r="D7" s="19">
        <v>21417</v>
      </c>
      <c r="E7" s="19">
        <f>D7-C7</f>
        <v>18430</v>
      </c>
      <c r="F7" s="19">
        <f>174+152</f>
        <v>326</v>
      </c>
      <c r="G7" s="19">
        <v>13739</v>
      </c>
      <c r="H7" s="19">
        <v>7678</v>
      </c>
      <c r="I7" s="19">
        <f>G7+H7-C7-E7</f>
        <v>0</v>
      </c>
      <c r="J7" s="19">
        <f>C7-G7</f>
        <v>-10752</v>
      </c>
      <c r="K7" s="19"/>
    </row>
    <row r="8" ht="21.1" customHeight="1">
      <c r="B8" s="35">
        <v>2016</v>
      </c>
      <c r="C8" s="18">
        <v>2956</v>
      </c>
      <c r="D8" s="19">
        <v>21927</v>
      </c>
      <c r="E8" s="19">
        <f>D8-C8</f>
        <v>18971</v>
      </c>
      <c r="F8" s="19">
        <f>202+159</f>
        <v>361</v>
      </c>
      <c r="G8" s="19">
        <v>13708</v>
      </c>
      <c r="H8" s="19">
        <v>8219</v>
      </c>
      <c r="I8" s="19">
        <f>G8+H8-C8-E8</f>
        <v>0</v>
      </c>
      <c r="J8" s="19">
        <f>C8-G8</f>
        <v>-10752</v>
      </c>
      <c r="K8" s="19"/>
    </row>
    <row r="9" ht="20.9" customHeight="1">
      <c r="B9" s="31"/>
      <c r="C9" s="18">
        <v>3601</v>
      </c>
      <c r="D9" s="19">
        <v>26272</v>
      </c>
      <c r="E9" s="19">
        <f>D9-C9</f>
        <v>22671</v>
      </c>
      <c r="F9" s="19">
        <f>165+226</f>
        <v>391</v>
      </c>
      <c r="G9" s="19">
        <v>17268</v>
      </c>
      <c r="H9" s="19">
        <v>9004</v>
      </c>
      <c r="I9" s="19">
        <f>G9+H9-C9-E9</f>
        <v>0</v>
      </c>
      <c r="J9" s="19">
        <f>C9-G9</f>
        <v>-13667</v>
      </c>
      <c r="K9" s="19"/>
    </row>
    <row r="10" ht="20.9" customHeight="1">
      <c r="B10" s="31"/>
      <c r="C10" s="18">
        <v>1551</v>
      </c>
      <c r="D10" s="19">
        <v>24227</v>
      </c>
      <c r="E10" s="19">
        <f>D10-C10</f>
        <v>22676</v>
      </c>
      <c r="F10" s="19">
        <f>171+86</f>
        <v>257</v>
      </c>
      <c r="G10" s="19">
        <v>14286</v>
      </c>
      <c r="H10" s="19">
        <v>9941</v>
      </c>
      <c r="I10" s="19">
        <f>G10+H10-C10-E10</f>
        <v>0</v>
      </c>
      <c r="J10" s="19">
        <f>C10-G10</f>
        <v>-12735</v>
      </c>
      <c r="K10" s="19"/>
    </row>
    <row r="11" ht="20.9" customHeight="1">
      <c r="B11" s="31"/>
      <c r="C11" s="18">
        <v>2905</v>
      </c>
      <c r="D11" s="19">
        <v>18787</v>
      </c>
      <c r="E11" s="19">
        <f>D11-C11</f>
        <v>15882</v>
      </c>
      <c r="F11" s="19">
        <f>105+179</f>
        <v>284</v>
      </c>
      <c r="G11" s="19">
        <v>12827</v>
      </c>
      <c r="H11" s="19">
        <v>5960</v>
      </c>
      <c r="I11" s="19">
        <f>G11+H11-C11-E11</f>
        <v>0</v>
      </c>
      <c r="J11" s="19">
        <f>C11-G11</f>
        <v>-9922</v>
      </c>
      <c r="K11" s="19"/>
    </row>
    <row r="12" ht="20.9" customHeight="1">
      <c r="B12" s="35">
        <v>2017</v>
      </c>
      <c r="C12" s="18">
        <v>2422</v>
      </c>
      <c r="D12" s="19">
        <v>25035</v>
      </c>
      <c r="E12" s="19">
        <f>D12-C12</f>
        <v>22613</v>
      </c>
      <c r="F12" s="19">
        <f>188+124</f>
        <v>312</v>
      </c>
      <c r="G12" s="19">
        <v>13646</v>
      </c>
      <c r="H12" s="19">
        <v>11389</v>
      </c>
      <c r="I12" s="19">
        <f>G12+H12-C12-E12</f>
        <v>0</v>
      </c>
      <c r="J12" s="19">
        <f>C12-G12</f>
        <v>-11224</v>
      </c>
      <c r="K12" s="19"/>
    </row>
    <row r="13" ht="20.9" customHeight="1">
      <c r="B13" s="31"/>
      <c r="C13" s="18">
        <v>4743</v>
      </c>
      <c r="D13" s="19">
        <v>27174</v>
      </c>
      <c r="E13" s="19">
        <f>D13-C13</f>
        <v>22431</v>
      </c>
      <c r="F13" s="19">
        <f>143+194</f>
        <v>337</v>
      </c>
      <c r="G13" s="19">
        <v>15845</v>
      </c>
      <c r="H13" s="19">
        <v>11329</v>
      </c>
      <c r="I13" s="19">
        <f>G13+H13-C13-E13</f>
        <v>0</v>
      </c>
      <c r="J13" s="19">
        <f>C13-G13</f>
        <v>-11102</v>
      </c>
      <c r="K13" s="19"/>
    </row>
    <row r="14" ht="20.9" customHeight="1">
      <c r="B14" s="31"/>
      <c r="C14" s="18">
        <v>3285</v>
      </c>
      <c r="D14" s="19">
        <v>26809</v>
      </c>
      <c r="E14" s="19">
        <f>D14-C14</f>
        <v>23524</v>
      </c>
      <c r="F14" s="19">
        <f>162+203</f>
        <v>365</v>
      </c>
      <c r="G14" s="19">
        <v>14869</v>
      </c>
      <c r="H14" s="19">
        <v>11940</v>
      </c>
      <c r="I14" s="19">
        <f>G14+H14-C14-E14</f>
        <v>0</v>
      </c>
      <c r="J14" s="19">
        <f>C14-G14</f>
        <v>-11584</v>
      </c>
      <c r="K14" s="19"/>
    </row>
    <row r="15" ht="20.9" customHeight="1">
      <c r="B15" s="31"/>
      <c r="C15" s="18">
        <v>2348</v>
      </c>
      <c r="D15" s="19">
        <v>18763</v>
      </c>
      <c r="E15" s="19">
        <f>D15-C15</f>
        <v>16415</v>
      </c>
      <c r="F15" s="19">
        <f>4265+181</f>
        <v>4446</v>
      </c>
      <c r="G15" s="19">
        <v>11661</v>
      </c>
      <c r="H15" s="19">
        <v>7102</v>
      </c>
      <c r="I15" s="19">
        <f>G15+H15-C15-E15</f>
        <v>0</v>
      </c>
      <c r="J15" s="19">
        <f>C15-G15</f>
        <v>-9313</v>
      </c>
      <c r="K15" s="19"/>
    </row>
    <row r="16" ht="20.9" customHeight="1">
      <c r="B16" s="35">
        <v>2018</v>
      </c>
      <c r="C16" s="18">
        <v>1281</v>
      </c>
      <c r="D16" s="19">
        <v>19206</v>
      </c>
      <c r="E16" s="19">
        <f>D16-C16</f>
        <v>17925</v>
      </c>
      <c r="F16" s="19">
        <f>201+4368</f>
        <v>4569</v>
      </c>
      <c r="G16" s="19">
        <v>11614</v>
      </c>
      <c r="H16" s="19">
        <v>7592</v>
      </c>
      <c r="I16" s="19">
        <f>G16+H16-C16-E16</f>
        <v>0</v>
      </c>
      <c r="J16" s="19">
        <f>C16-G16</f>
        <v>-10333</v>
      </c>
      <c r="K16" s="19"/>
    </row>
    <row r="17" ht="20.9" customHeight="1">
      <c r="B17" s="31"/>
      <c r="C17" s="18">
        <v>1945</v>
      </c>
      <c r="D17" s="19">
        <v>23828</v>
      </c>
      <c r="E17" s="19">
        <f>D17-C17</f>
        <v>21883</v>
      </c>
      <c r="F17" s="19">
        <f>222+4624</f>
        <v>4846</v>
      </c>
      <c r="G17" s="19">
        <v>16520</v>
      </c>
      <c r="H17" s="19">
        <v>7308</v>
      </c>
      <c r="I17" s="19">
        <f>G17+H17-C17-E17</f>
        <v>0</v>
      </c>
      <c r="J17" s="19">
        <f>C17-G17</f>
        <v>-14575</v>
      </c>
      <c r="K17" s="19"/>
    </row>
    <row r="18" ht="20.9" customHeight="1">
      <c r="B18" s="31"/>
      <c r="C18" s="18">
        <v>1298</v>
      </c>
      <c r="D18" s="19">
        <v>22990</v>
      </c>
      <c r="E18" s="19">
        <f>D18-C18</f>
        <v>21692</v>
      </c>
      <c r="F18" s="19">
        <f>4782+254</f>
        <v>5036</v>
      </c>
      <c r="G18" s="19">
        <v>15078</v>
      </c>
      <c r="H18" s="19">
        <v>7912</v>
      </c>
      <c r="I18" s="19">
        <f>G18+H18-C18-E18</f>
        <v>0</v>
      </c>
      <c r="J18" s="19">
        <f>C18-G18</f>
        <v>-13780</v>
      </c>
      <c r="K18" s="19"/>
    </row>
    <row r="19" ht="20.9" customHeight="1">
      <c r="B19" s="31"/>
      <c r="C19" s="18">
        <v>963</v>
      </c>
      <c r="D19" s="19">
        <v>22959</v>
      </c>
      <c r="E19" s="19">
        <f>D19-C19</f>
        <v>21996</v>
      </c>
      <c r="F19" s="19">
        <f>4932+278</f>
        <v>5210</v>
      </c>
      <c r="G19" s="19">
        <v>14926</v>
      </c>
      <c r="H19" s="19">
        <v>8033</v>
      </c>
      <c r="I19" s="19">
        <f>G19+H19-C19-E19</f>
        <v>0</v>
      </c>
      <c r="J19" s="19">
        <f>C19-G19</f>
        <v>-13963</v>
      </c>
      <c r="K19" s="19"/>
    </row>
    <row r="20" ht="20.9" customHeight="1">
      <c r="B20" s="35">
        <v>2019</v>
      </c>
      <c r="C20" s="18">
        <v>451</v>
      </c>
      <c r="D20" s="19">
        <v>24207</v>
      </c>
      <c r="E20" s="19">
        <f>D20-C20</f>
        <v>23756</v>
      </c>
      <c r="F20" s="19">
        <f>305+5078</f>
        <v>5383</v>
      </c>
      <c r="G20" s="19">
        <v>15767</v>
      </c>
      <c r="H20" s="19">
        <v>8440</v>
      </c>
      <c r="I20" s="19">
        <f>G20+H20-C20-E20</f>
        <v>0</v>
      </c>
      <c r="J20" s="19">
        <f>C20-G20</f>
        <v>-15316</v>
      </c>
      <c r="K20" s="19"/>
    </row>
    <row r="21" ht="20.9" customHeight="1">
      <c r="B21" s="31"/>
      <c r="C21" s="18">
        <v>1869</v>
      </c>
      <c r="D21" s="19">
        <v>26051</v>
      </c>
      <c r="E21" s="19">
        <f>D21-C21</f>
        <v>24182</v>
      </c>
      <c r="F21" s="19">
        <f>5247+333</f>
        <v>5580</v>
      </c>
      <c r="G21" s="19">
        <v>18249</v>
      </c>
      <c r="H21" s="19">
        <v>7802</v>
      </c>
      <c r="I21" s="19">
        <f>G21+H21-C21-E21</f>
        <v>0</v>
      </c>
      <c r="J21" s="19">
        <f>C21-G21</f>
        <v>-16380</v>
      </c>
      <c r="K21" s="19"/>
    </row>
    <row r="22" ht="20.9" customHeight="1">
      <c r="B22" s="31"/>
      <c r="C22" s="18">
        <v>2241</v>
      </c>
      <c r="D22" s="19">
        <v>25944</v>
      </c>
      <c r="E22" s="19">
        <f>D22-C22</f>
        <v>23703</v>
      </c>
      <c r="F22" s="19">
        <f>5419+360</f>
        <v>5779</v>
      </c>
      <c r="G22" s="19">
        <v>17638</v>
      </c>
      <c r="H22" s="19">
        <v>8306</v>
      </c>
      <c r="I22" s="19">
        <f>G22+H22-C22-E22</f>
        <v>0</v>
      </c>
      <c r="J22" s="19">
        <f>C22-G22</f>
        <v>-15397</v>
      </c>
      <c r="K22" s="22"/>
    </row>
    <row r="23" ht="20.9" customHeight="1">
      <c r="B23" s="31"/>
      <c r="C23" s="18">
        <v>594</v>
      </c>
      <c r="D23" s="19">
        <v>27666</v>
      </c>
      <c r="E23" s="19">
        <f>D23-C23</f>
        <v>27072</v>
      </c>
      <c r="F23" s="19">
        <f>5479+389</f>
        <v>5868</v>
      </c>
      <c r="G23" s="19">
        <v>18905</v>
      </c>
      <c r="H23" s="19">
        <v>8761</v>
      </c>
      <c r="I23" s="19">
        <f>G23+H23-C23-E23</f>
        <v>0</v>
      </c>
      <c r="J23" s="19">
        <f>C23-G23</f>
        <v>-18311</v>
      </c>
      <c r="K23" s="22"/>
    </row>
    <row r="24" ht="20.9" customHeight="1">
      <c r="B24" s="35">
        <v>2020</v>
      </c>
      <c r="C24" s="18">
        <v>894</v>
      </c>
      <c r="D24" s="19">
        <v>32520</v>
      </c>
      <c r="E24" s="19">
        <f>D24-C24</f>
        <v>31626</v>
      </c>
      <c r="F24" s="19">
        <f>5645+420+197</f>
        <v>6262</v>
      </c>
      <c r="G24" s="19">
        <v>23169</v>
      </c>
      <c r="H24" s="19">
        <v>9351</v>
      </c>
      <c r="I24" s="19">
        <f>G24+H24-C24-E24</f>
        <v>0</v>
      </c>
      <c r="J24" s="19">
        <f>C24-G24</f>
        <v>-22275</v>
      </c>
      <c r="K24" s="22"/>
    </row>
    <row r="25" ht="20.9" customHeight="1">
      <c r="B25" s="31"/>
      <c r="C25" s="18">
        <v>1366</v>
      </c>
      <c r="D25" s="19">
        <v>34088</v>
      </c>
      <c r="E25" s="19">
        <f>D25-C25</f>
        <v>32722</v>
      </c>
      <c r="F25" s="19">
        <f>5825+453+418</f>
        <v>6696</v>
      </c>
      <c r="G25" s="19">
        <v>24826</v>
      </c>
      <c r="H25" s="19">
        <v>9262</v>
      </c>
      <c r="I25" s="19">
        <f>G25+H25-C25-E25</f>
        <v>0</v>
      </c>
      <c r="J25" s="19">
        <f>C25-G25</f>
        <v>-23460</v>
      </c>
      <c r="K25" s="19"/>
    </row>
    <row r="26" ht="20.9" customHeight="1">
      <c r="B26" s="31"/>
      <c r="C26" s="18">
        <v>1568</v>
      </c>
      <c r="D26" s="19">
        <v>33239</v>
      </c>
      <c r="E26" s="19">
        <f>D26-C26</f>
        <v>31671</v>
      </c>
      <c r="F26" s="19">
        <f>6024+484+641</f>
        <v>7149</v>
      </c>
      <c r="G26" s="19">
        <v>23517</v>
      </c>
      <c r="H26" s="19">
        <v>9722</v>
      </c>
      <c r="I26" s="19">
        <f>G26+H26-C26-E26</f>
        <v>0</v>
      </c>
      <c r="J26" s="19">
        <f>C26-G26</f>
        <v>-21949</v>
      </c>
      <c r="K26" s="22"/>
    </row>
    <row r="27" ht="20.9" customHeight="1">
      <c r="B27" s="31"/>
      <c r="C27" s="18">
        <v>1443</v>
      </c>
      <c r="D27" s="19">
        <v>34249</v>
      </c>
      <c r="E27" s="19">
        <f>D27-C27</f>
        <v>32806</v>
      </c>
      <c r="F27" s="19">
        <f>6046+512+817</f>
        <v>7375</v>
      </c>
      <c r="G27" s="19">
        <v>24065</v>
      </c>
      <c r="H27" s="19">
        <v>10184</v>
      </c>
      <c r="I27" s="19">
        <f>G27+H27-C27-E27</f>
        <v>0</v>
      </c>
      <c r="J27" s="19">
        <f>C27-G27</f>
        <v>-22622</v>
      </c>
      <c r="K27" s="22"/>
    </row>
    <row r="28" ht="20.9" customHeight="1">
      <c r="B28" s="35">
        <v>2021</v>
      </c>
      <c r="C28" s="18">
        <v>1275</v>
      </c>
      <c r="D28" s="19">
        <v>36714</v>
      </c>
      <c r="E28" s="19">
        <f>D28-C28</f>
        <v>35439</v>
      </c>
      <c r="F28" s="19">
        <f t="shared" si="97" ref="F28:F30">6204+543+210</f>
        <v>6957</v>
      </c>
      <c r="G28" s="19">
        <v>25813</v>
      </c>
      <c r="H28" s="19">
        <v>10901</v>
      </c>
      <c r="I28" s="19">
        <f>G28+H28-C28-E28</f>
        <v>0</v>
      </c>
      <c r="J28" s="19">
        <f>C28-G28</f>
        <v>-24538</v>
      </c>
      <c r="K28" s="19"/>
    </row>
    <row r="29" ht="20.9" customHeight="1">
      <c r="B29" s="31"/>
      <c r="C29" s="18">
        <v>1649</v>
      </c>
      <c r="D29" s="19">
        <v>34651</v>
      </c>
      <c r="E29" s="19">
        <f>D29-C29</f>
        <v>33002</v>
      </c>
      <c r="F29" s="19">
        <f>6363+574+420</f>
        <v>7357</v>
      </c>
      <c r="G29" s="19">
        <v>24048</v>
      </c>
      <c r="H29" s="19">
        <v>10603</v>
      </c>
      <c r="I29" s="19">
        <f>G29+H29-C29-E29</f>
        <v>0</v>
      </c>
      <c r="J29" s="19">
        <f>C29-G29</f>
        <v>-22399</v>
      </c>
      <c r="K29" s="22"/>
    </row>
    <row r="30" ht="20.9" customHeight="1">
      <c r="B30" s="31"/>
      <c r="C30" s="18">
        <v>18774</v>
      </c>
      <c r="D30" s="19">
        <v>52217</v>
      </c>
      <c r="E30" s="19">
        <f>D30-C30</f>
        <v>33443</v>
      </c>
      <c r="F30" s="19">
        <f t="shared" si="97"/>
        <v>6957</v>
      </c>
      <c r="G30" s="19">
        <v>40743</v>
      </c>
      <c r="H30" s="19">
        <v>11474</v>
      </c>
      <c r="I30" s="19">
        <f>G30+H30-C30-E30</f>
        <v>0</v>
      </c>
      <c r="J30" s="19">
        <f>C30-G30</f>
        <v>-21969</v>
      </c>
      <c r="K30" s="22">
        <f>J30</f>
        <v>-21969</v>
      </c>
    </row>
    <row r="31" ht="20.9" customHeight="1">
      <c r="B31" s="31"/>
      <c r="C31" s="18"/>
      <c r="D31" s="19"/>
      <c r="E31" s="19"/>
      <c r="F31" s="19"/>
      <c r="G31" s="19"/>
      <c r="H31" s="19"/>
      <c r="I31" s="19"/>
      <c r="J31" s="19"/>
      <c r="K31" s="19">
        <f>'Model'!F31</f>
        <v>-19956.2644110949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H28"/>
  <sheetViews>
    <sheetView workbookViewId="0" showGridLines="0" defaultGridColor="1"/>
  </sheetViews>
  <sheetFormatPr defaultColWidth="8.33333" defaultRowHeight="19.9" customHeight="1" outlineLevelRow="0" outlineLevelCol="0"/>
  <cols>
    <col min="1" max="1" width="19.8984" style="42" customWidth="1"/>
    <col min="2" max="2" width="6.82031" style="42" customWidth="1"/>
    <col min="3" max="8" width="8.35156" style="42" customWidth="1"/>
    <col min="9" max="16384" width="8.35156" style="42" customWidth="1"/>
  </cols>
  <sheetData>
    <row r="1" ht="62.95" customHeight="1"/>
    <row r="2" ht="27.65" customHeight="1">
      <c r="B2" t="s" s="2">
        <v>55</v>
      </c>
      <c r="C2" s="2"/>
      <c r="D2" s="2"/>
      <c r="E2" s="2"/>
      <c r="F2" s="2"/>
      <c r="G2" s="2"/>
      <c r="H2" s="2"/>
    </row>
    <row r="3" ht="20.25" customHeight="1">
      <c r="B3" t="s" s="43">
        <v>56</v>
      </c>
      <c r="C3" t="s" s="43">
        <v>57</v>
      </c>
      <c r="D3" t="s" s="44">
        <v>58</v>
      </c>
      <c r="E3" s="45">
        <f>'Model'!F42</f>
        <v>49.8025751072961</v>
      </c>
      <c r="F3" s="45"/>
      <c r="G3" t="s" s="44">
        <v>59</v>
      </c>
      <c r="H3" t="s" s="44">
        <v>35</v>
      </c>
    </row>
    <row r="4" ht="20.25" customHeight="1">
      <c r="B4" s="46">
        <v>2016</v>
      </c>
      <c r="C4" s="47">
        <v>880</v>
      </c>
      <c r="D4" s="48"/>
      <c r="E4" s="49">
        <f>C4*E$3</f>
        <v>43826.2660944206</v>
      </c>
      <c r="F4" s="49">
        <f>SUM('Sales'!F5:F8)</f>
        <v>2807</v>
      </c>
      <c r="G4" s="49">
        <f>E4/F4</f>
        <v>15.6132048786678</v>
      </c>
      <c r="H4" s="48"/>
    </row>
    <row r="5" ht="20.05" customHeight="1">
      <c r="B5" s="50"/>
      <c r="C5" s="51">
        <v>850</v>
      </c>
      <c r="D5" s="52"/>
      <c r="E5" s="53">
        <f>C5*E$3</f>
        <v>42332.1888412017</v>
      </c>
      <c r="F5" s="53">
        <f>SUM('Sales'!F6:F9)</f>
        <v>3107</v>
      </c>
      <c r="G5" s="53">
        <f>E5/F5</f>
        <v>13.6247791571296</v>
      </c>
      <c r="H5" s="52"/>
    </row>
    <row r="6" ht="20.05" customHeight="1">
      <c r="B6" s="50"/>
      <c r="C6" s="51">
        <v>780</v>
      </c>
      <c r="D6" s="52"/>
      <c r="E6" s="53">
        <f>C6*E$3</f>
        <v>38846.008583691</v>
      </c>
      <c r="F6" s="53">
        <f>SUM('Sales'!F7:F10)</f>
        <v>3257</v>
      </c>
      <c r="G6" s="53">
        <f>E6/F6</f>
        <v>11.9269292550479</v>
      </c>
      <c r="H6" s="52"/>
    </row>
    <row r="7" ht="20.05" customHeight="1">
      <c r="B7" s="50"/>
      <c r="C7" s="51">
        <v>716</v>
      </c>
      <c r="D7" s="52"/>
      <c r="E7" s="53">
        <f>C7*E$3</f>
        <v>35658.643776824</v>
      </c>
      <c r="F7" s="53">
        <f>SUM('Sales'!F8:F11)</f>
        <v>1765</v>
      </c>
      <c r="G7" s="53">
        <f>E7/F7</f>
        <v>20.2031976072657</v>
      </c>
      <c r="H7" s="52"/>
    </row>
    <row r="8" ht="20.05" customHeight="1">
      <c r="B8" s="54">
        <v>2017</v>
      </c>
      <c r="C8" s="51">
        <v>776</v>
      </c>
      <c r="D8" s="52"/>
      <c r="E8" s="53">
        <f>C8*E$3</f>
        <v>38646.7982832618</v>
      </c>
      <c r="F8" s="53">
        <f>SUM('Sales'!F9:F12)</f>
        <v>1808</v>
      </c>
      <c r="G8" s="53">
        <f>E8/F8</f>
        <v>21.3754415283528</v>
      </c>
      <c r="H8" s="52"/>
    </row>
    <row r="9" ht="20.05" customHeight="1">
      <c r="B9" s="50"/>
      <c r="C9" s="51">
        <v>758</v>
      </c>
      <c r="D9" s="52"/>
      <c r="E9" s="53">
        <f>C9*E$3</f>
        <v>37750.3519313304</v>
      </c>
      <c r="F9" s="53">
        <f>SUM('Sales'!F10:F13)</f>
        <v>1532</v>
      </c>
      <c r="G9" s="53">
        <f>E9/F9</f>
        <v>24.6412218872914</v>
      </c>
      <c r="H9" s="52"/>
    </row>
    <row r="10" ht="20.05" customHeight="1">
      <c r="B10" s="50"/>
      <c r="C10" s="51">
        <v>894</v>
      </c>
      <c r="D10" s="52"/>
      <c r="E10" s="53">
        <f>C10*E$3</f>
        <v>44523.5021459227</v>
      </c>
      <c r="F10" s="53">
        <f>SUM('Sales'!F11:F14)</f>
        <v>1466</v>
      </c>
      <c r="G10" s="53">
        <f>E10/F10</f>
        <v>30.3707381622938</v>
      </c>
      <c r="H10" s="52"/>
    </row>
    <row r="11" ht="20.05" customHeight="1">
      <c r="B11" s="50"/>
      <c r="C11" s="51">
        <v>800</v>
      </c>
      <c r="D11" s="52"/>
      <c r="E11" s="53">
        <f>C11*E$3</f>
        <v>39842.0600858369</v>
      </c>
      <c r="F11" s="53">
        <f>SUM('Sales'!F12:F15)</f>
        <v>2100</v>
      </c>
      <c r="G11" s="53">
        <f>E11/F11</f>
        <v>18.9724095646842</v>
      </c>
      <c r="H11" s="52"/>
    </row>
    <row r="12" ht="20.05" customHeight="1">
      <c r="B12" s="54">
        <v>2018</v>
      </c>
      <c r="C12" s="51">
        <v>716</v>
      </c>
      <c r="D12" s="52"/>
      <c r="E12" s="53">
        <f>C12*E$3</f>
        <v>35658.643776824</v>
      </c>
      <c r="F12" s="53">
        <f>SUM('Sales'!F13:F16)</f>
        <v>2057</v>
      </c>
      <c r="G12" s="53">
        <f>E12/F12</f>
        <v>17.3352667850384</v>
      </c>
      <c r="H12" s="52"/>
    </row>
    <row r="13" ht="20.05" customHeight="1">
      <c r="B13" s="50"/>
      <c r="C13" s="51">
        <v>620</v>
      </c>
      <c r="D13" s="52"/>
      <c r="E13" s="53">
        <f>C13*E$3</f>
        <v>30877.5965665236</v>
      </c>
      <c r="F13" s="53">
        <f>SUM('Sales'!F14:F17)</f>
        <v>2085</v>
      </c>
      <c r="G13" s="53">
        <f>E13/F13</f>
        <v>14.809398832865</v>
      </c>
      <c r="H13" s="52"/>
    </row>
    <row r="14" ht="20.05" customHeight="1">
      <c r="B14" s="50"/>
      <c r="C14" s="51">
        <v>488</v>
      </c>
      <c r="D14" s="52"/>
      <c r="E14" s="53">
        <f>C14*E$3</f>
        <v>24303.6566523605</v>
      </c>
      <c r="F14" s="53">
        <f>SUM('Sales'!F15:F18)</f>
        <v>2179</v>
      </c>
      <c r="G14" s="53">
        <f>E14/F14</f>
        <v>11.1535826766225</v>
      </c>
      <c r="H14" s="52"/>
    </row>
    <row r="15" ht="20.05" customHeight="1">
      <c r="B15" s="50"/>
      <c r="C15" s="51">
        <v>690</v>
      </c>
      <c r="D15" s="52"/>
      <c r="E15" s="53">
        <f>C15*E$3</f>
        <v>34363.7768240343</v>
      </c>
      <c r="F15" s="53">
        <f>SUM('Sales'!F16:F19)</f>
        <v>2200</v>
      </c>
      <c r="G15" s="53">
        <f>E15/F15</f>
        <v>15.6198985563792</v>
      </c>
      <c r="H15" s="52"/>
    </row>
    <row r="16" ht="20.05" customHeight="1">
      <c r="B16" s="54">
        <v>2019</v>
      </c>
      <c r="C16" s="51">
        <v>785</v>
      </c>
      <c r="D16" s="52"/>
      <c r="E16" s="53">
        <f>C16*E$3</f>
        <v>39095.0214592274</v>
      </c>
      <c r="F16" s="53">
        <f>SUM('Sales'!F17:F20)</f>
        <v>2153</v>
      </c>
      <c r="G16" s="53">
        <f>E16/F16</f>
        <v>18.1583936178483</v>
      </c>
      <c r="H16" s="52"/>
    </row>
    <row r="17" ht="20.05" customHeight="1">
      <c r="B17" s="50"/>
      <c r="C17" s="51">
        <v>705</v>
      </c>
      <c r="D17" s="52"/>
      <c r="E17" s="53">
        <f>C17*E$3</f>
        <v>35110.8154506438</v>
      </c>
      <c r="F17" s="53">
        <f>SUM('Sales'!F18:F21)</f>
        <v>2113</v>
      </c>
      <c r="G17" s="53">
        <f>E17/F17</f>
        <v>16.6165714390174</v>
      </c>
      <c r="H17" s="52"/>
    </row>
    <row r="18" ht="20.05" customHeight="1">
      <c r="B18" s="50"/>
      <c r="C18" s="51">
        <v>655</v>
      </c>
      <c r="D18" s="52"/>
      <c r="E18" s="53">
        <f>C18*E$3</f>
        <v>32620.6866952789</v>
      </c>
      <c r="F18" s="53">
        <f>SUM('Sales'!F19:F22)</f>
        <v>2091</v>
      </c>
      <c r="G18" s="53">
        <f>E18/F18</f>
        <v>15.6005197012333</v>
      </c>
      <c r="H18" s="52"/>
    </row>
    <row r="19" ht="20.05" customHeight="1">
      <c r="B19" s="50"/>
      <c r="C19" s="51">
        <v>805</v>
      </c>
      <c r="D19" s="52"/>
      <c r="E19" s="53">
        <f>C19*E$3</f>
        <v>40091.0729613734</v>
      </c>
      <c r="F19" s="53">
        <f>SUM('Sales'!F20:F23)</f>
        <v>2353</v>
      </c>
      <c r="G19" s="53">
        <f>E19/F19</f>
        <v>17.0382800515824</v>
      </c>
      <c r="H19" s="52"/>
    </row>
    <row r="20" ht="20.05" customHeight="1">
      <c r="B20" s="54">
        <v>2020</v>
      </c>
      <c r="C20" s="51">
        <v>675</v>
      </c>
      <c r="D20" s="52"/>
      <c r="E20" s="53">
        <f>C20*E$3</f>
        <v>33616.7381974249</v>
      </c>
      <c r="F20" s="53">
        <f>SUM('Sales'!F21:F24)</f>
        <v>2407</v>
      </c>
      <c r="G20" s="53">
        <f>E20/F20</f>
        <v>13.9662393840569</v>
      </c>
      <c r="H20" s="52"/>
    </row>
    <row r="21" ht="20.05" customHeight="1">
      <c r="B21" s="50"/>
      <c r="C21" s="55">
        <v>1020</v>
      </c>
      <c r="D21" s="56"/>
      <c r="E21" s="53">
        <f>C21*E$3</f>
        <v>50798.626609442</v>
      </c>
      <c r="F21" s="53">
        <f>SUM('Sales'!F22:F25)</f>
        <v>2676</v>
      </c>
      <c r="G21" s="53">
        <f>E21/F21</f>
        <v>18.9830443234088</v>
      </c>
      <c r="H21" s="52"/>
    </row>
    <row r="22" ht="20.05" customHeight="1">
      <c r="B22" s="50"/>
      <c r="C22" s="57">
        <v>1035</v>
      </c>
      <c r="D22" s="56"/>
      <c r="E22" s="53">
        <f>C22*E$3</f>
        <v>51545.6652360515</v>
      </c>
      <c r="F22" s="53">
        <f>SUM('Sales'!F23:F26)</f>
        <v>2684</v>
      </c>
      <c r="G22" s="53">
        <f>E22/F22</f>
        <v>19.2047933070237</v>
      </c>
      <c r="H22" s="52"/>
    </row>
    <row r="23" ht="20.05" customHeight="1">
      <c r="B23" s="50"/>
      <c r="C23" s="57">
        <v>960</v>
      </c>
      <c r="D23" s="56"/>
      <c r="E23" s="53">
        <f>C23*E$3</f>
        <v>47810.4721030043</v>
      </c>
      <c r="F23" s="53">
        <f>SUM('Sales'!F24:F27)</f>
        <v>2853.6</v>
      </c>
      <c r="G23" s="53">
        <f>E23/F23</f>
        <v>16.7544407425723</v>
      </c>
      <c r="H23" s="52"/>
    </row>
    <row r="24" ht="20.05" customHeight="1">
      <c r="B24" s="54">
        <v>2021</v>
      </c>
      <c r="C24" s="57">
        <v>1100</v>
      </c>
      <c r="D24" s="56"/>
      <c r="E24" s="53">
        <f>C24*E$3</f>
        <v>54782.8326180257</v>
      </c>
      <c r="F24" s="53">
        <f>SUM('Sales'!F25:F28)</f>
        <v>3122.1</v>
      </c>
      <c r="G24" s="53">
        <f>E24/F24</f>
        <v>17.5467898587572</v>
      </c>
      <c r="H24" s="52"/>
    </row>
    <row r="25" ht="20.05" customHeight="1">
      <c r="B25" s="50"/>
      <c r="C25" s="57">
        <v>1240</v>
      </c>
      <c r="D25" s="56"/>
      <c r="E25" s="53">
        <f>C25*E$3</f>
        <v>61755.1931330472</v>
      </c>
      <c r="F25" s="53">
        <f>SUM('Sales'!F26:F29)</f>
        <v>3238.3</v>
      </c>
      <c r="G25" s="53">
        <f>E25/F25</f>
        <v>19.0702507899352</v>
      </c>
      <c r="H25" s="52"/>
    </row>
    <row r="26" ht="20.05" customHeight="1">
      <c r="B26" s="50"/>
      <c r="C26" s="57">
        <v>1325</v>
      </c>
      <c r="D26" s="56"/>
      <c r="E26" s="53">
        <f>C26*E$3</f>
        <v>65988.4120171673</v>
      </c>
      <c r="F26" s="53">
        <f>SUM('Sales'!F27:F30)</f>
        <v>3534.1</v>
      </c>
      <c r="G26" s="53">
        <f>E26/F26</f>
        <v>18.6719142121523</v>
      </c>
      <c r="H26" s="52"/>
    </row>
    <row r="27" ht="20.05" customHeight="1">
      <c r="B27" s="50"/>
      <c r="C27" s="57">
        <v>1165</v>
      </c>
      <c r="D27" s="58">
        <f>C27</f>
        <v>1165</v>
      </c>
      <c r="E27" s="53">
        <f>C27*E$3</f>
        <v>58020</v>
      </c>
      <c r="F27" s="53">
        <f>SUM('Sales'!F28:F31)</f>
        <v>2608.5</v>
      </c>
      <c r="G27" s="53">
        <f>E27/F27</f>
        <v>22.242668200115</v>
      </c>
      <c r="H27" s="59">
        <f>G27</f>
        <v>22.242668200115</v>
      </c>
    </row>
    <row r="28" ht="20.05" customHeight="1">
      <c r="B28" s="50"/>
      <c r="C28" s="57"/>
      <c r="D28" s="58">
        <f>'Model'!F43</f>
        <v>1040.003300016270</v>
      </c>
      <c r="E28" s="56"/>
      <c r="F28" s="56"/>
      <c r="G28" s="56"/>
      <c r="H28" s="60">
        <f>'Model'!F41/('Model'!C10+'Model'!D10+'Model'!E10+'Model'!F10)</f>
        <v>16.235641894187</v>
      </c>
    </row>
  </sheetData>
  <mergeCells count="1">
    <mergeCell ref="B2:H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