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<sst xmlns="http://schemas.openxmlformats.org/spreadsheetml/2006/main" uniqueCount="56">
  <si>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</si>
  <si>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</si>
  <si>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</si>
  <si>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</si>
  <si>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</si>
  <si>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</si>
  <si>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</si>
  <si>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</si>
  <si>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</si>
  <si>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</si>
  <si>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</si>
  <si>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</si>
  <si>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</si>
  <si>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</si>
  <si>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</si>
  <si>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</si>
  <si>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</si>
  <si>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>End</t>
  </si>
  <si>
    <t xml:space="preserve">Profit </t>
  </si>
  <si>
    <t>Non cash costs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</si>
  <si>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</si>
  <si>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</si>
  <si>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</si>
  <si>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</si>
  <si>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</si>
  <si>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</si>
  <si>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</si>
  <si>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</si>
  <si>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</si>
  <si>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</si>
  <si>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</si>
  <si>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</si>
  <si>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</si>
  <si>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</si>
  <si>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</si>
  <si>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</si>
  <si>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</si>
  <si>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</si>
  <si>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</si>
  <si>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</si>
  <si>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</si>
  <si>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>Sales forecasts</t>
  </si>
  <si>
    <t>Profit</t>
  </si>
  <si>
    <t xml:space="preserve">Sales growth </t>
  </si>
  <si>
    <t>Cashflow costs</t>
  </si>
  <si>
    <t>Receipts</t>
  </si>
  <si>
    <t>Power plant</t>
  </si>
  <si>
    <t xml:space="preserve">Capex </t>
  </si>
  <si>
    <t>Operating minus power plant</t>
  </si>
  <si>
    <t xml:space="preserve">Free cashflow </t>
  </si>
  <si>
    <t>Cash</t>
  </si>
  <si>
    <t>Assets</t>
  </si>
  <si>
    <t>Check</t>
  </si>
  <si>
    <t xml:space="preserve">Net cash </t>
  </si>
  <si>
    <t>Share price</t>
  </si>
  <si>
    <t>TOBA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</si>
</sst>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0" fontId="4" borderId="4" applyNumberFormat="0" applyFont="1" applyFill="0" applyBorder="1" applyAlignment="1" applyProtection="0">
      <alignment horizontal="right" vertical="top" wrapText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0" fontId="0" borderId="7" applyNumberFormat="0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604459</xdr:colOff>
      <xdr:row>2</xdr:row>
      <xdr:rowOff>19752</xdr:rowOff>
    </xdr:from>
    <xdr:to>
      <xdr:col>13</xdr:col>
      <xdr:colOff>418270</xdr:colOff>
      <xdr:row>47</xdr:row>
      <xdr:rowOff>141441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55759" y="523307"/>
          <a:ext cx="8526012" cy="115853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953" style="1" customWidth="1"/>
    <col min="3" max="6" width="8.851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t="s" s="5">
        <v>2</v>
      </c>
      <c r="E3" s="6"/>
      <c r="F3" s="6"/>
    </row>
    <row r="4" ht="20.25" customHeight="1">
      <c r="B4" t="s" s="7">
        <v>3</v>
      </c>
      <c r="C4" s="8">
        <f>AVERAGE('Cashflow '!E22:E25)</f>
        <v>0.201551767927265</v>
      </c>
      <c r="D4" s="9"/>
      <c r="E4" s="9"/>
      <c r="F4" s="10">
        <f>AVERAGE(C5:F5)</f>
        <v>0.12</v>
      </c>
    </row>
    <row r="5" ht="20.05" customHeight="1">
      <c r="B5" t="s" s="11">
        <v>4</v>
      </c>
      <c r="C5" s="12">
        <v>0.25</v>
      </c>
      <c r="D5" s="13">
        <v>-0.02</v>
      </c>
      <c r="E5" s="13">
        <v>0.1</v>
      </c>
      <c r="F5" s="13">
        <v>0.15</v>
      </c>
    </row>
    <row r="6" ht="20.05" customHeight="1">
      <c r="B6" t="s" s="11">
        <v>5</v>
      </c>
      <c r="C6" s="14">
        <f>'Cashflow '!C26*(1+C5)</f>
        <v>116.625</v>
      </c>
      <c r="D6" s="15">
        <f>C6*(1+D5)</f>
        <v>114.2925</v>
      </c>
      <c r="E6" s="15">
        <f>D6*(1+E5)</f>
        <v>125.72175</v>
      </c>
      <c r="F6" s="15">
        <f>E6*(1+F5)</f>
        <v>144.5800125</v>
      </c>
    </row>
    <row r="7" ht="20.05" customHeight="1">
      <c r="B7" t="s" s="11">
        <v>6</v>
      </c>
      <c r="C7" s="12">
        <f>AVERAGE('Sales'!I23)</f>
        <v>-0.852678571428571</v>
      </c>
      <c r="D7" s="13">
        <f>C7</f>
        <v>-0.852678571428571</v>
      </c>
      <c r="E7" s="13">
        <f>D7</f>
        <v>-0.852678571428571</v>
      </c>
      <c r="F7" s="13">
        <f>E7</f>
        <v>-0.852678571428571</v>
      </c>
    </row>
    <row r="8" ht="20.05" customHeight="1">
      <c r="B8" t="s" s="11">
        <v>7</v>
      </c>
      <c r="C8" s="16">
        <f>C6*C7</f>
        <v>-99.4436383928571</v>
      </c>
      <c r="D8" s="17">
        <f>D6*D7</f>
        <v>-97.45476562499999</v>
      </c>
      <c r="E8" s="17">
        <f>E6*E7</f>
        <v>-107.2002421875</v>
      </c>
      <c r="F8" s="17">
        <f>F6*F7</f>
        <v>-123.280278515625</v>
      </c>
    </row>
    <row r="9" ht="20.05" customHeight="1">
      <c r="B9" t="s" s="11">
        <v>8</v>
      </c>
      <c r="C9" s="16">
        <f>C6+C8</f>
        <v>17.1813616071429</v>
      </c>
      <c r="D9" s="17">
        <f>D6+D8</f>
        <v>16.837734375</v>
      </c>
      <c r="E9" s="17">
        <f>E6+E8</f>
        <v>18.5215078125</v>
      </c>
      <c r="F9" s="17">
        <f>F6+F8</f>
        <v>21.299733984375</v>
      </c>
    </row>
    <row r="10" ht="20.05" customHeight="1">
      <c r="B10" t="s" s="11">
        <v>9</v>
      </c>
      <c r="C10" s="16">
        <f>AVERAGE('Cashflow '!G26)</f>
        <v>-2.4</v>
      </c>
      <c r="D10" s="17">
        <f>C10</f>
        <v>-2.4</v>
      </c>
      <c r="E10" s="17">
        <f>D10</f>
        <v>-2.4</v>
      </c>
      <c r="F10" s="17">
        <f>E10</f>
        <v>-2.4</v>
      </c>
    </row>
    <row r="11" ht="20.05" customHeight="1">
      <c r="B11" t="s" s="11">
        <v>10</v>
      </c>
      <c r="C11" s="16">
        <f>C12+C13+C15</f>
        <v>-14.7813616071429</v>
      </c>
      <c r="D11" s="17">
        <f>D12+D13+D15</f>
        <v>-14.437734375</v>
      </c>
      <c r="E11" s="17">
        <f>E12+E13+E15</f>
        <v>-16.1215078125</v>
      </c>
      <c r="F11" s="17">
        <f>F12+F13+F15</f>
        <v>-18.899733984375</v>
      </c>
    </row>
    <row r="12" ht="20.05" customHeight="1">
      <c r="B12" t="s" s="11">
        <v>11</v>
      </c>
      <c r="C12" s="16">
        <f>-'Balance sheet'!G26/20</f>
        <v>-23.75</v>
      </c>
      <c r="D12" s="17">
        <f>-C26/20</f>
        <v>-22.5625</v>
      </c>
      <c r="E12" s="17">
        <f>-D26/20</f>
        <v>-21.434375</v>
      </c>
      <c r="F12" s="17">
        <f>-E26/20</f>
        <v>-20.36265625</v>
      </c>
    </row>
    <row r="13" ht="20.05" customHeight="1">
      <c r="B13" t="s" s="11">
        <v>12</v>
      </c>
      <c r="C13" s="16">
        <f>IF(C21&gt;0,-C21*0,0)</f>
        <v>0</v>
      </c>
      <c r="D13" s="17">
        <f>IF(D21&gt;0,-D21*0,0)</f>
        <v>0</v>
      </c>
      <c r="E13" s="17">
        <f>IF(E21&gt;0,-E21*0,0)</f>
        <v>0</v>
      </c>
      <c r="F13" s="17">
        <f>IF(F21&gt;0,-F21*0,0)</f>
        <v>0</v>
      </c>
    </row>
    <row r="14" ht="20.05" customHeight="1">
      <c r="B14" t="s" s="11">
        <v>13</v>
      </c>
      <c r="C14" s="16">
        <f>C9+C10+C12+C13</f>
        <v>-8.9686383928571</v>
      </c>
      <c r="D14" s="17">
        <f>D9+D10+D12+D13</f>
        <v>-8.124765625</v>
      </c>
      <c r="E14" s="17">
        <f>E9+E10+E12+E13</f>
        <v>-5.3128671875</v>
      </c>
      <c r="F14" s="17">
        <f>F9+F10+F12+F13</f>
        <v>-1.462922265625</v>
      </c>
    </row>
    <row r="15" ht="20.05" customHeight="1">
      <c r="B15" t="s" s="11">
        <v>14</v>
      </c>
      <c r="C15" s="16">
        <f>-MIN(0,C14)</f>
        <v>8.9686383928571</v>
      </c>
      <c r="D15" s="17">
        <f>-MIN(C27,D14)</f>
        <v>8.124765625</v>
      </c>
      <c r="E15" s="17">
        <f>-MIN(D27,E14)</f>
        <v>5.3128671875</v>
      </c>
      <c r="F15" s="17">
        <f>-MIN(E27,F14)</f>
        <v>1.462922265625</v>
      </c>
    </row>
    <row r="16" ht="20.05" customHeight="1">
      <c r="B16" t="s" s="11">
        <v>15</v>
      </c>
      <c r="C16" s="16">
        <f>'Balance sheet'!C26</f>
        <v>62</v>
      </c>
      <c r="D16" s="17">
        <f>C18</f>
        <v>62</v>
      </c>
      <c r="E16" s="17">
        <f>D18</f>
        <v>62</v>
      </c>
      <c r="F16" s="17">
        <f>E18</f>
        <v>62</v>
      </c>
    </row>
    <row r="17" ht="20.05" customHeight="1">
      <c r="B17" t="s" s="11">
        <v>16</v>
      </c>
      <c r="C17" s="16">
        <f>C9+C10+C11</f>
        <v>0</v>
      </c>
      <c r="D17" s="17">
        <f>D9+D10+D11</f>
        <v>0</v>
      </c>
      <c r="E17" s="17">
        <f>E9+E10+E11</f>
        <v>0</v>
      </c>
      <c r="F17" s="17">
        <f>F9+F10+F11</f>
        <v>0</v>
      </c>
    </row>
    <row r="18" ht="20.05" customHeight="1">
      <c r="B18" t="s" s="11">
        <v>17</v>
      </c>
      <c r="C18" s="16">
        <f>C16+C17</f>
        <v>62</v>
      </c>
      <c r="D18" s="17">
        <f>D16+D17</f>
        <v>62</v>
      </c>
      <c r="E18" s="17">
        <f>E16+E17</f>
        <v>62</v>
      </c>
      <c r="F18" s="17">
        <f>F16+F17</f>
        <v>62</v>
      </c>
    </row>
    <row r="19" ht="20.05" customHeight="1">
      <c r="B19" t="s" s="18">
        <v>18</v>
      </c>
      <c r="C19" s="16"/>
      <c r="D19" s="17"/>
      <c r="E19" s="17"/>
      <c r="F19" s="17"/>
    </row>
    <row r="20" ht="20.05" customHeight="1">
      <c r="B20" t="s" s="11">
        <v>19</v>
      </c>
      <c r="C20" s="16">
        <f>-AVERAGE('Sales'!E25)</f>
        <v>-6.4</v>
      </c>
      <c r="D20" s="17">
        <f>C20</f>
        <v>-6.4</v>
      </c>
      <c r="E20" s="17">
        <f>D20</f>
        <v>-6.4</v>
      </c>
      <c r="F20" s="17">
        <f>E20</f>
        <v>-6.4</v>
      </c>
    </row>
    <row r="21" ht="20.05" customHeight="1">
      <c r="B21" t="s" s="11">
        <v>18</v>
      </c>
      <c r="C21" s="16">
        <f>C6+C8+C20</f>
        <v>10.7813616071429</v>
      </c>
      <c r="D21" s="17">
        <f>D6+D8+D20</f>
        <v>10.437734375</v>
      </c>
      <c r="E21" s="17">
        <f>E6+E8+E20</f>
        <v>12.1215078125</v>
      </c>
      <c r="F21" s="17">
        <f>F6+F8+F20</f>
        <v>14.899733984375</v>
      </c>
    </row>
    <row r="22" ht="20.05" customHeight="1">
      <c r="B22" t="s" s="18">
        <v>20</v>
      </c>
      <c r="C22" s="16"/>
      <c r="D22" s="17"/>
      <c r="E22" s="17"/>
      <c r="F22" s="17"/>
    </row>
    <row r="23" ht="20.05" customHeight="1">
      <c r="B23" t="s" s="11">
        <v>21</v>
      </c>
      <c r="C23" s="16">
        <f>'Balance sheet'!E26+'Balance sheet'!F26-C10</f>
        <v>904.4</v>
      </c>
      <c r="D23" s="17">
        <f>C23-D10</f>
        <v>906.8</v>
      </c>
      <c r="E23" s="17">
        <f>D23-E10</f>
        <v>909.2</v>
      </c>
      <c r="F23" s="17">
        <f>E23-F10</f>
        <v>911.6</v>
      </c>
    </row>
    <row r="24" ht="20.05" customHeight="1">
      <c r="B24" t="s" s="11">
        <v>22</v>
      </c>
      <c r="C24" s="16">
        <f>'Balance sheet'!F26-C20</f>
        <v>174.4</v>
      </c>
      <c r="D24" s="17">
        <f>C24-D20</f>
        <v>180.8</v>
      </c>
      <c r="E24" s="17">
        <f>D24-E20</f>
        <v>187.2</v>
      </c>
      <c r="F24" s="17">
        <f>E24-F20</f>
        <v>193.6</v>
      </c>
    </row>
    <row r="25" ht="20.05" customHeight="1">
      <c r="B25" t="s" s="11">
        <v>23</v>
      </c>
      <c r="C25" s="16">
        <f>C23-C24</f>
        <v>730</v>
      </c>
      <c r="D25" s="17">
        <f>D23-D24</f>
        <v>726</v>
      </c>
      <c r="E25" s="17">
        <f>E23-E24</f>
        <v>722</v>
      </c>
      <c r="F25" s="17">
        <f>F23-F24</f>
        <v>718</v>
      </c>
    </row>
    <row r="26" ht="20.05" customHeight="1">
      <c r="B26" t="s" s="11">
        <v>11</v>
      </c>
      <c r="C26" s="16">
        <f>'Balance sheet'!G26+C12</f>
        <v>451.25</v>
      </c>
      <c r="D26" s="17">
        <f>C26+D12</f>
        <v>428.6875</v>
      </c>
      <c r="E26" s="17">
        <f>D26+E12</f>
        <v>407.253125</v>
      </c>
      <c r="F26" s="17">
        <f>E26+F12</f>
        <v>386.89046875</v>
      </c>
    </row>
    <row r="27" ht="20.05" customHeight="1">
      <c r="B27" t="s" s="11">
        <v>14</v>
      </c>
      <c r="C27" s="16">
        <f>C15</f>
        <v>8.9686383928571</v>
      </c>
      <c r="D27" s="17">
        <f>C27+D15</f>
        <v>17.0934040178571</v>
      </c>
      <c r="E27" s="17">
        <f>D27+E15</f>
        <v>22.4062712053571</v>
      </c>
      <c r="F27" s="17">
        <f>E27+F15</f>
        <v>23.8691934709821</v>
      </c>
    </row>
    <row r="28" ht="20.05" customHeight="1">
      <c r="B28" t="s" s="11">
        <v>12</v>
      </c>
      <c r="C28" s="16">
        <f>'Balance sheet'!H26+C21+C13</f>
        <v>331.781361607143</v>
      </c>
      <c r="D28" s="17">
        <f>C28+D21+D13</f>
        <v>342.219095982143</v>
      </c>
      <c r="E28" s="17">
        <f>D28+E21+E13</f>
        <v>354.340603794643</v>
      </c>
      <c r="F28" s="17">
        <f>E28+F21+F13</f>
        <v>369.240337779018</v>
      </c>
    </row>
    <row r="29" ht="20.05" customHeight="1">
      <c r="B29" t="s" s="11">
        <v>24</v>
      </c>
      <c r="C29" s="16">
        <f>C26+C27+C28-C18-C25</f>
        <v>1e-13</v>
      </c>
      <c r="D29" s="17">
        <f>D26+D27+D28-D18-D25</f>
        <v>1e-13</v>
      </c>
      <c r="E29" s="17">
        <f>E26+E27+E28-E18-E25</f>
        <v>1e-13</v>
      </c>
      <c r="F29" s="17">
        <f>F26+F27+F28-F18-F25</f>
        <v>1e-13</v>
      </c>
    </row>
    <row r="30" ht="20.05" customHeight="1">
      <c r="B30" t="s" s="11">
        <v>25</v>
      </c>
      <c r="C30" s="16">
        <f>C18-C26-C27</f>
        <v>-398.218638392857</v>
      </c>
      <c r="D30" s="17">
        <f>D18-D26-D27</f>
        <v>-383.780904017857</v>
      </c>
      <c r="E30" s="17">
        <f>E18-E26-E27</f>
        <v>-367.659396205357</v>
      </c>
      <c r="F30" s="17">
        <f>F18-F26-F27</f>
        <v>-348.759662220982</v>
      </c>
    </row>
    <row r="31" ht="20.05" customHeight="1">
      <c r="B31" t="s" s="18">
        <v>26</v>
      </c>
      <c r="C31" s="16"/>
      <c r="D31" s="17"/>
      <c r="E31" s="17"/>
      <c r="F31" s="17"/>
    </row>
    <row r="32" ht="20.05" customHeight="1">
      <c r="B32" t="s" s="11">
        <v>27</v>
      </c>
      <c r="C32" s="16"/>
      <c r="D32" s="17"/>
      <c r="E32" s="17"/>
      <c r="F32" s="17">
        <v>14</v>
      </c>
    </row>
    <row r="33" ht="20.05" customHeight="1">
      <c r="B33" t="s" s="11">
        <v>28</v>
      </c>
      <c r="C33" s="16">
        <f>'Cashflow '!N26-C11</f>
        <v>-172.318638392857</v>
      </c>
      <c r="D33" s="17">
        <f>C33-D11</f>
        <v>-157.880904017857</v>
      </c>
      <c r="E33" s="17">
        <f>D33-E11</f>
        <v>-141.759396205357</v>
      </c>
      <c r="F33" s="17">
        <f>E33-F11</f>
        <v>-122.859662220982</v>
      </c>
    </row>
    <row r="34" ht="20.05" customHeight="1">
      <c r="B34" t="s" s="11">
        <v>29</v>
      </c>
      <c r="C34" s="16"/>
      <c r="D34" s="17"/>
      <c r="E34" s="17"/>
      <c r="F34" s="17">
        <f>4427/F32</f>
        <v>316.214285714286</v>
      </c>
    </row>
    <row r="35" ht="20.05" customHeight="1">
      <c r="B35" t="s" s="11">
        <v>30</v>
      </c>
      <c r="C35" s="16"/>
      <c r="D35" s="17"/>
      <c r="E35" s="17"/>
      <c r="F35" s="19">
        <f>F34/(F18+F25)</f>
        <v>0.405402930402931</v>
      </c>
    </row>
    <row r="36" ht="20.05" customHeight="1">
      <c r="B36" t="s" s="11">
        <v>31</v>
      </c>
      <c r="C36" s="16"/>
      <c r="D36" s="17"/>
      <c r="E36" s="17"/>
      <c r="F36" s="20">
        <f>-(C13+D13+E13+F13)/F34</f>
        <v>0</v>
      </c>
    </row>
    <row r="37" ht="20.05" customHeight="1">
      <c r="B37" t="s" s="11">
        <v>32</v>
      </c>
      <c r="C37" s="16"/>
      <c r="D37" s="17"/>
      <c r="E37" s="17"/>
      <c r="F37" s="17">
        <f>SUM(C9:F10)</f>
        <v>64.24033777901791</v>
      </c>
    </row>
    <row r="38" ht="20.05" customHeight="1">
      <c r="B38" t="s" s="11">
        <v>33</v>
      </c>
      <c r="C38" s="16"/>
      <c r="D38" s="17"/>
      <c r="E38" s="17"/>
      <c r="F38" s="17">
        <f>'Balance sheet'!E26/F37</f>
        <v>11.4258427862709</v>
      </c>
    </row>
    <row r="39" ht="20.05" customHeight="1">
      <c r="B39" t="s" s="11">
        <v>26</v>
      </c>
      <c r="C39" s="16"/>
      <c r="D39" s="17"/>
      <c r="E39" s="17"/>
      <c r="F39" s="17">
        <f>F34/F37</f>
        <v>4.9223633724038</v>
      </c>
    </row>
    <row r="40" ht="20.05" customHeight="1">
      <c r="B40" t="s" s="11">
        <v>34</v>
      </c>
      <c r="C40" s="16"/>
      <c r="D40" s="17"/>
      <c r="E40" s="17"/>
      <c r="F40" s="17">
        <v>6</v>
      </c>
    </row>
    <row r="41" ht="20.05" customHeight="1">
      <c r="B41" t="s" s="11">
        <v>35</v>
      </c>
      <c r="C41" s="16"/>
      <c r="D41" s="17"/>
      <c r="E41" s="17"/>
      <c r="F41" s="17">
        <f>F37*F40</f>
        <v>385.442026674107</v>
      </c>
    </row>
    <row r="42" ht="20.05" customHeight="1">
      <c r="B42" t="s" s="11">
        <v>36</v>
      </c>
      <c r="C42" s="16"/>
      <c r="D42" s="17"/>
      <c r="E42" s="17"/>
      <c r="F42" s="17">
        <v>8.049090909090911</v>
      </c>
    </row>
    <row r="43" ht="20.05" customHeight="1">
      <c r="B43" t="s" s="11">
        <v>37</v>
      </c>
      <c r="C43" s="16"/>
      <c r="D43" s="17"/>
      <c r="E43" s="17"/>
      <c r="F43" s="17">
        <f>(F41/F42)*F32</f>
        <v>670.409669164360</v>
      </c>
    </row>
    <row r="44" ht="20.05" customHeight="1">
      <c r="B44" t="s" s="11">
        <v>38</v>
      </c>
      <c r="C44" s="16"/>
      <c r="D44" s="17"/>
      <c r="E44" s="17"/>
      <c r="F44" s="17">
        <f>'Share price '!C74</f>
        <v>550</v>
      </c>
    </row>
    <row r="45" ht="20.05" customHeight="1">
      <c r="B45" t="s" s="11">
        <v>39</v>
      </c>
      <c r="C45" s="16"/>
      <c r="D45" s="17"/>
      <c r="E45" s="17"/>
      <c r="F45" s="20">
        <f>F43/F44-1</f>
        <v>0.218926671207927</v>
      </c>
    </row>
    <row r="46" ht="20.05" customHeight="1">
      <c r="B46" t="s" s="11">
        <v>40</v>
      </c>
      <c r="C46" s="16"/>
      <c r="D46" s="17"/>
      <c r="E46" s="17"/>
      <c r="F46" s="20">
        <f>'Cashflow '!C26/'Cashflow '!C22-1</f>
        <v>2.33214285714286</v>
      </c>
    </row>
    <row r="47" ht="20.05" customHeight="1">
      <c r="B47" t="s" s="11">
        <v>41</v>
      </c>
      <c r="C47" s="16"/>
      <c r="D47" s="17"/>
      <c r="E47" s="17"/>
      <c r="F47" s="20">
        <f>('Sales'!D22+'Sales'!D23+'Sales'!D24+'Sales'!D25)/('Sales'!C22+'Sales'!C23+'Sales'!C24+'Sales'!C25)-1</f>
        <v>0.008184463194646489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I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9" width="10.5156" style="21" customWidth="1"/>
    <col min="10" max="16384" width="16.3516" style="21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</row>
    <row r="2" ht="32.25" customHeight="1">
      <c r="B2" t="s" s="5">
        <v>1</v>
      </c>
      <c r="C2" t="s" s="5">
        <v>5</v>
      </c>
      <c r="D2" t="s" s="5">
        <v>34</v>
      </c>
      <c r="E2" t="s" s="5">
        <v>7</v>
      </c>
      <c r="F2" t="s" s="5">
        <v>42</v>
      </c>
      <c r="G2" t="s" s="5">
        <v>43</v>
      </c>
      <c r="H2" t="s" s="5">
        <v>6</v>
      </c>
      <c r="I2" t="s" s="5">
        <v>44</v>
      </c>
    </row>
    <row r="3" ht="20.25" customHeight="1">
      <c r="B3" s="22">
        <v>2016</v>
      </c>
      <c r="C3" s="23">
        <v>63.56</v>
      </c>
      <c r="D3" s="24"/>
      <c r="E3" s="24">
        <v>1.675</v>
      </c>
      <c r="F3" s="24">
        <v>5</v>
      </c>
      <c r="G3" s="25"/>
      <c r="H3" s="10">
        <f>(E3+F3-C3)/C3</f>
        <v>-0.894981120201385</v>
      </c>
      <c r="I3" s="10"/>
    </row>
    <row r="4" ht="20.05" customHeight="1">
      <c r="B4" s="26"/>
      <c r="C4" s="27">
        <v>75.44</v>
      </c>
      <c r="D4" s="28"/>
      <c r="E4" s="28">
        <v>1.675</v>
      </c>
      <c r="F4" s="28">
        <v>4.2</v>
      </c>
      <c r="G4" s="13">
        <f>C4/C3-1</f>
        <v>0.186910006293266</v>
      </c>
      <c r="H4" s="13">
        <f>(E4+F4-C4)/C4</f>
        <v>-0.922123541887593</v>
      </c>
      <c r="I4" s="13"/>
    </row>
    <row r="5" ht="20.05" customHeight="1">
      <c r="B5" s="26"/>
      <c r="C5" s="27">
        <v>53.09</v>
      </c>
      <c r="D5" s="28"/>
      <c r="E5" s="28">
        <v>1.675</v>
      </c>
      <c r="F5" s="28">
        <v>0.5</v>
      </c>
      <c r="G5" s="13">
        <f>C5/C4-1</f>
        <v>-0.296261930010604</v>
      </c>
      <c r="H5" s="13">
        <f>(E5+F5-C5)/C5</f>
        <v>-0.959031832736862</v>
      </c>
      <c r="I5" s="13"/>
    </row>
    <row r="6" ht="20.05" customHeight="1">
      <c r="B6" s="26"/>
      <c r="C6" s="14">
        <v>66.18000000000001</v>
      </c>
      <c r="D6" s="15"/>
      <c r="E6" s="28">
        <v>1.675</v>
      </c>
      <c r="F6" s="17">
        <v>4.88</v>
      </c>
      <c r="G6" s="13">
        <f>C6/C5-1</f>
        <v>0.246562441137691</v>
      </c>
      <c r="H6" s="13">
        <f>(E6+F6-C6)/C6</f>
        <v>-0.900951949229374</v>
      </c>
      <c r="I6" s="13"/>
    </row>
    <row r="7" ht="20.05" customHeight="1">
      <c r="B7" s="29">
        <v>2017</v>
      </c>
      <c r="C7" s="14">
        <v>62.67</v>
      </c>
      <c r="D7" s="15"/>
      <c r="E7" s="15">
        <v>1.75</v>
      </c>
      <c r="F7" s="17">
        <v>10.2</v>
      </c>
      <c r="G7" s="13">
        <f>C7/C6-1</f>
        <v>-0.0530371713508613</v>
      </c>
      <c r="H7" s="13">
        <f>(E7+F7-C7)/C7</f>
        <v>-0.809318653263124</v>
      </c>
      <c r="I7" s="13">
        <f>('Cashflow '!H8-'Cashflow '!C8)/'Cashflow '!C8</f>
        <v>-0.8447789275635</v>
      </c>
    </row>
    <row r="8" ht="20.05" customHeight="1">
      <c r="B8" s="26"/>
      <c r="C8" s="14">
        <v>65.13</v>
      </c>
      <c r="D8" s="15"/>
      <c r="E8" s="15">
        <v>1.75</v>
      </c>
      <c r="F8" s="17">
        <v>4.4</v>
      </c>
      <c r="G8" s="13">
        <f>C8/C7-1</f>
        <v>0.0392532312111058</v>
      </c>
      <c r="H8" s="13">
        <f>(E8+F8-C8)/C8</f>
        <v>-0.90557346844772</v>
      </c>
      <c r="I8" s="13">
        <f>('Cashflow '!H9-'Cashflow '!C9)/'Cashflow '!C9</f>
        <v>-0.88062308924152</v>
      </c>
    </row>
    <row r="9" ht="20.05" customHeight="1">
      <c r="B9" s="26"/>
      <c r="C9" s="14">
        <v>83.45</v>
      </c>
      <c r="D9" s="15"/>
      <c r="E9" s="15">
        <v>1.75</v>
      </c>
      <c r="F9" s="17">
        <v>14.3</v>
      </c>
      <c r="G9" s="13">
        <f>C9/C8-1</f>
        <v>0.281283586672808</v>
      </c>
      <c r="H9" s="13">
        <f>(E9+F9-C9)/C9</f>
        <v>-0.807669263031756</v>
      </c>
      <c r="I9" s="13">
        <f>('Cashflow '!H10-'Cashflow '!C10)/'Cashflow '!C10</f>
        <v>-0.797620507788544</v>
      </c>
    </row>
    <row r="10" ht="20.05" customHeight="1">
      <c r="B10" s="26"/>
      <c r="C10" s="14">
        <v>99.45</v>
      </c>
      <c r="D10" s="15"/>
      <c r="E10" s="15">
        <v>1.75</v>
      </c>
      <c r="F10" s="17">
        <v>12.46</v>
      </c>
      <c r="G10" s="13">
        <f>C10/C9-1</f>
        <v>0.191731575793889</v>
      </c>
      <c r="H10" s="13">
        <f>(E10+F10-C10)/C10</f>
        <v>-0.8571141277023629</v>
      </c>
      <c r="I10" s="13">
        <f>('Cashflow '!H11-'Cashflow '!C11)/'Cashflow '!C11</f>
        <v>-1.19308916785298</v>
      </c>
    </row>
    <row r="11" ht="20.05" customHeight="1">
      <c r="B11" s="29">
        <v>2018</v>
      </c>
      <c r="C11" s="14">
        <v>108.35</v>
      </c>
      <c r="D11" s="15"/>
      <c r="E11" s="15">
        <v>1.4</v>
      </c>
      <c r="F11" s="17">
        <v>25.21</v>
      </c>
      <c r="G11" s="13">
        <f>C11/C10-1</f>
        <v>0.08949220713926601</v>
      </c>
      <c r="H11" s="13">
        <f>(E11+F11-C11)/C11</f>
        <v>-0.754407014305491</v>
      </c>
      <c r="I11" s="13">
        <f>('Cashflow '!H12-'Cashflow '!C12)/'Cashflow '!C12</f>
        <v>-0.6837111228255141</v>
      </c>
    </row>
    <row r="12" ht="20.05" customHeight="1">
      <c r="B12" s="26"/>
      <c r="C12" s="14">
        <v>78.94</v>
      </c>
      <c r="D12" s="15"/>
      <c r="E12" s="15">
        <v>1.4</v>
      </c>
      <c r="F12" s="17">
        <v>6.01</v>
      </c>
      <c r="G12" s="13">
        <f>C12/C11-1</f>
        <v>-0.271435163820951</v>
      </c>
      <c r="H12" s="13">
        <f>(E12+F12-C12)/C12</f>
        <v>-0.906131238915632</v>
      </c>
      <c r="I12" s="13">
        <f>('Cashflow '!H13-'Cashflow '!C13)/'Cashflow '!C13</f>
        <v>-1.14756790903348</v>
      </c>
    </row>
    <row r="13" ht="20.05" customHeight="1">
      <c r="B13" s="26"/>
      <c r="C13" s="14">
        <v>116.71</v>
      </c>
      <c r="D13" s="15"/>
      <c r="E13" s="15">
        <v>1.4</v>
      </c>
      <c r="F13" s="17">
        <v>14.78</v>
      </c>
      <c r="G13" s="13">
        <f>C13/C12-1</f>
        <v>0.478464656701292</v>
      </c>
      <c r="H13" s="13">
        <f>(E13+F13-C13)/C13</f>
        <v>-0.861365778425156</v>
      </c>
      <c r="I13" s="13">
        <f>('Cashflow '!H14-'Cashflow '!C14)/'Cashflow '!C14</f>
        <v>-0.73551724137931</v>
      </c>
    </row>
    <row r="14" ht="20.05" customHeight="1">
      <c r="B14" s="26"/>
      <c r="C14" s="14">
        <v>134</v>
      </c>
      <c r="D14" s="15"/>
      <c r="E14" s="15">
        <v>1.4</v>
      </c>
      <c r="F14" s="17">
        <v>22</v>
      </c>
      <c r="G14" s="13">
        <f>C14/C13-1</f>
        <v>0.148144974723674</v>
      </c>
      <c r="H14" s="13">
        <f>(E14+F14-C14)/C14</f>
        <v>-0.825373134328358</v>
      </c>
      <c r="I14" s="13">
        <f>('Cashflow '!H15-'Cashflow '!C15)/'Cashflow '!C15</f>
        <v>-1.1078431372549</v>
      </c>
    </row>
    <row r="15" ht="20.05" customHeight="1">
      <c r="B15" s="29">
        <v>2019</v>
      </c>
      <c r="C15" s="14">
        <v>110</v>
      </c>
      <c r="D15" s="15"/>
      <c r="E15" s="15">
        <v>1.85</v>
      </c>
      <c r="F15" s="17">
        <v>10</v>
      </c>
      <c r="G15" s="13">
        <f>C15/C14-1</f>
        <v>-0.17910447761194</v>
      </c>
      <c r="H15" s="13">
        <f>(E15+F15-C15)/C15</f>
        <v>-0.892272727272727</v>
      </c>
      <c r="I15" s="13">
        <f>('Cashflow '!H16-'Cashflow '!C16)/'Cashflow '!C16</f>
        <v>-1.23529411764706</v>
      </c>
    </row>
    <row r="16" ht="20.05" customHeight="1">
      <c r="B16" s="26"/>
      <c r="C16" s="14">
        <v>121</v>
      </c>
      <c r="D16" s="15"/>
      <c r="E16" s="15">
        <v>1.85</v>
      </c>
      <c r="F16" s="17">
        <v>13</v>
      </c>
      <c r="G16" s="13">
        <f>C16/C15-1</f>
        <v>0.1</v>
      </c>
      <c r="H16" s="13">
        <f>(E16+F16-C16)/C16</f>
        <v>-0.877272727272727</v>
      </c>
      <c r="I16" s="13">
        <f>('Cashflow '!H17-'Cashflow '!C17)/'Cashflow '!C17</f>
        <v>-1.35483870967742</v>
      </c>
    </row>
    <row r="17" ht="20.05" customHeight="1">
      <c r="B17" s="26"/>
      <c r="C17" s="14">
        <v>124</v>
      </c>
      <c r="D17" s="15"/>
      <c r="E17" s="15">
        <v>1.85</v>
      </c>
      <c r="F17" s="17">
        <v>11</v>
      </c>
      <c r="G17" s="13">
        <f>C17/C16-1</f>
        <v>0.0247933884297521</v>
      </c>
      <c r="H17" s="13">
        <f>(E17+F17-C17)/C17</f>
        <v>-0.896370967741935</v>
      </c>
      <c r="I17" s="13">
        <f>('Cashflow '!H18-'Cashflow '!C18)/'Cashflow '!C18</f>
        <v>-1.2089552238806</v>
      </c>
    </row>
    <row r="18" ht="20.05" customHeight="1">
      <c r="B18" s="26"/>
      <c r="C18" s="14">
        <v>171</v>
      </c>
      <c r="D18" s="15"/>
      <c r="E18" s="15">
        <v>1.85</v>
      </c>
      <c r="F18" s="17">
        <v>10</v>
      </c>
      <c r="G18" s="13">
        <f>C18/C17-1</f>
        <v>0.379032258064516</v>
      </c>
      <c r="H18" s="13">
        <f>(E18+F18-C18)/C18</f>
        <v>-0.930701754385965</v>
      </c>
      <c r="I18" s="13">
        <f>('Cashflow '!H19-'Cashflow '!C19)/'Cashflow '!C19</f>
        <v>-1.82191780821918</v>
      </c>
    </row>
    <row r="19" ht="20.05" customHeight="1">
      <c r="B19" s="29">
        <v>2020</v>
      </c>
      <c r="C19" s="14">
        <v>167</v>
      </c>
      <c r="D19" s="15"/>
      <c r="E19" s="15">
        <v>2</v>
      </c>
      <c r="F19" s="17">
        <v>28</v>
      </c>
      <c r="G19" s="13">
        <f>C19/C18-1</f>
        <v>-0.0233918128654971</v>
      </c>
      <c r="H19" s="13">
        <f>(E19+F19-C19)/C19</f>
        <v>-0.820359281437126</v>
      </c>
      <c r="I19" s="13">
        <f>('Cashflow '!H20-'Cashflow '!C20)/'Cashflow '!C20</f>
        <v>-1.27380952380952</v>
      </c>
    </row>
    <row r="20" ht="20.05" customHeight="1">
      <c r="B20" s="26"/>
      <c r="C20" s="14">
        <v>52</v>
      </c>
      <c r="D20" s="15"/>
      <c r="E20" s="15">
        <v>2</v>
      </c>
      <c r="F20" s="17">
        <v>5</v>
      </c>
      <c r="G20" s="13">
        <f>C20/C19-1</f>
        <v>-0.688622754491018</v>
      </c>
      <c r="H20" s="13">
        <f>(E20+F20-C20)/C20</f>
        <v>-0.865384615384615</v>
      </c>
      <c r="I20" s="13">
        <f>('Cashflow '!H21-'Cashflow '!C21)/'Cashflow '!C21</f>
        <v>-1.58490566037736</v>
      </c>
    </row>
    <row r="21" ht="20.05" customHeight="1">
      <c r="B21" s="26"/>
      <c r="C21" s="14">
        <v>56</v>
      </c>
      <c r="D21" s="15"/>
      <c r="E21" s="15">
        <v>2</v>
      </c>
      <c r="F21" s="17">
        <v>12</v>
      </c>
      <c r="G21" s="13">
        <f>C21/C20-1</f>
        <v>0.0769230769230769</v>
      </c>
      <c r="H21" s="13">
        <f>(E21+F21-C21)/C21</f>
        <v>-0.75</v>
      </c>
      <c r="I21" s="13">
        <f>('Cashflow '!H22-'Cashflow '!C22)/'Cashflow '!C22</f>
        <v>-2.14285714285714</v>
      </c>
    </row>
    <row r="22" ht="20.05" customHeight="1">
      <c r="B22" s="26"/>
      <c r="C22" s="14">
        <f>331.9-SUM(C19:C21)</f>
        <v>56.9</v>
      </c>
      <c r="D22" s="15">
        <v>75.59999999999999</v>
      </c>
      <c r="E22" s="15">
        <f>6.8+21.3-SUM(E19:E21)</f>
        <v>22.1</v>
      </c>
      <c r="F22" s="17">
        <f>35.8-SUM(F19:F21)</f>
        <v>-9.199999999999999</v>
      </c>
      <c r="G22" s="13">
        <f>C22/C21-1</f>
        <v>0.0160714285714286</v>
      </c>
      <c r="H22" s="13">
        <f>(E22+F22-C22)/C22</f>
        <v>-0.773286467486819</v>
      </c>
      <c r="I22" s="13">
        <f>('Cashflow '!H23-'Cashflow '!C23)/'Cashflow '!C23</f>
        <v>-1.65736040609137</v>
      </c>
    </row>
    <row r="23" ht="20.05" customHeight="1">
      <c r="B23" s="29">
        <v>2021</v>
      </c>
      <c r="C23" s="14">
        <v>84.40000000000001</v>
      </c>
      <c r="D23" s="15">
        <v>86.94</v>
      </c>
      <c r="E23" s="15">
        <f>2+1.3+0.5</f>
        <v>3.8</v>
      </c>
      <c r="F23" s="17">
        <v>13</v>
      </c>
      <c r="G23" s="13">
        <f>C23/C22-1</f>
        <v>0.483304042179262</v>
      </c>
      <c r="H23" s="13">
        <f>(E23+F23-C23)/C23</f>
        <v>-0.800947867298578</v>
      </c>
      <c r="I23" s="13">
        <f>('Cashflow '!H24-'Cashflow '!C24)/'Cashflow '!C24</f>
        <v>-0.852678571428571</v>
      </c>
    </row>
    <row r="24" ht="20.05" customHeight="1">
      <c r="B24" s="26"/>
      <c r="C24" s="14">
        <f>188.8-C23</f>
        <v>104.4</v>
      </c>
      <c r="D24" s="15">
        <v>97.06</v>
      </c>
      <c r="E24" s="15">
        <f>4.4+2.6+1.1-E23</f>
        <v>4.3</v>
      </c>
      <c r="F24" s="17">
        <f>30-F23</f>
        <v>17</v>
      </c>
      <c r="G24" s="13">
        <f>C24/C23-1</f>
        <v>0.23696682464455</v>
      </c>
      <c r="H24" s="13">
        <f>(E24+F24-C24)/C24</f>
        <v>-0.795977011494253</v>
      </c>
      <c r="I24" s="13">
        <f>('Cashflow '!H25-'Cashflow '!C25)/'Cashflow '!C25</f>
        <v>-1.08939974457216</v>
      </c>
    </row>
    <row r="25" ht="20.05" customHeight="1">
      <c r="B25" s="26"/>
      <c r="C25" s="14">
        <f>286.8-SUM(C23:C24)</f>
        <v>98</v>
      </c>
      <c r="D25" s="15">
        <v>86.913</v>
      </c>
      <c r="E25" s="15">
        <f>4.5+0.4+0.6+9-SUM(E23:E24)</f>
        <v>6.4</v>
      </c>
      <c r="F25" s="17">
        <f>45-SUM(F23:F24)</f>
        <v>15</v>
      </c>
      <c r="G25" s="13">
        <f>C25/C24-1</f>
        <v>-0.0613026819923372</v>
      </c>
      <c r="H25" s="13">
        <f>(E25+F25-C25)/C25</f>
        <v>-0.781632653061224</v>
      </c>
      <c r="I25" s="13">
        <f>('Cashflow '!H26-'Cashflow '!C26)/'Cashflow '!C26</f>
        <v>-1.04072883172562</v>
      </c>
    </row>
    <row r="26" ht="20.05" customHeight="1">
      <c r="B26" s="26"/>
      <c r="C26" s="14"/>
      <c r="D26" s="15">
        <f>'Model'!C6</f>
        <v>116.625</v>
      </c>
      <c r="E26" s="15"/>
      <c r="F26" s="17"/>
      <c r="G26" s="30"/>
      <c r="H26" s="13">
        <f>'Model'!C7</f>
        <v>-0.852678571428571</v>
      </c>
      <c r="I26" s="13">
        <f>'Model'!C7</f>
        <v>-0.852678571428571</v>
      </c>
    </row>
    <row r="27" ht="20.05" customHeight="1">
      <c r="B27" s="29">
        <v>2022</v>
      </c>
      <c r="C27" s="14"/>
      <c r="D27" s="15">
        <f>'Model'!D6</f>
        <v>114.2925</v>
      </c>
      <c r="E27" s="15"/>
      <c r="F27" s="17"/>
      <c r="G27" s="30"/>
      <c r="H27" s="13"/>
      <c r="I27" s="13"/>
    </row>
    <row r="28" ht="20.05" customHeight="1">
      <c r="B28" s="26"/>
      <c r="C28" s="14"/>
      <c r="D28" s="15">
        <f>'Model'!E6</f>
        <v>125.72175</v>
      </c>
      <c r="E28" s="15"/>
      <c r="F28" s="17"/>
      <c r="G28" s="30"/>
      <c r="H28" s="13"/>
      <c r="I28" s="13"/>
    </row>
    <row r="29" ht="20.05" customHeight="1">
      <c r="B29" s="26"/>
      <c r="C29" s="14"/>
      <c r="D29" s="15">
        <f>'Model'!F6</f>
        <v>144.5800125</v>
      </c>
      <c r="E29" s="15"/>
      <c r="F29" s="17"/>
      <c r="G29" s="30"/>
      <c r="H29" s="13"/>
      <c r="I29" s="13"/>
    </row>
  </sheetData>
  <mergeCells count="1">
    <mergeCell ref="B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1" customWidth="1"/>
    <col min="2" max="2" width="8.21094" style="31" customWidth="1"/>
    <col min="3" max="14" width="8.88281" style="31" customWidth="1"/>
    <col min="15" max="16384" width="16.3516" style="31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56.25" customHeight="1">
      <c r="B3" t="s" s="5">
        <v>1</v>
      </c>
      <c r="C3" t="s" s="5">
        <v>45</v>
      </c>
      <c r="D3" t="s" s="5">
        <v>34</v>
      </c>
      <c r="E3" t="s" s="5">
        <v>4</v>
      </c>
      <c r="F3" t="s" s="5">
        <v>46</v>
      </c>
      <c r="G3" t="s" s="5">
        <v>47</v>
      </c>
      <c r="H3" t="s" s="5">
        <v>8</v>
      </c>
      <c r="I3" t="s" s="5">
        <v>48</v>
      </c>
      <c r="J3" t="s" s="5">
        <v>9</v>
      </c>
      <c r="K3" t="s" s="5">
        <v>10</v>
      </c>
      <c r="L3" t="s" s="5">
        <v>49</v>
      </c>
      <c r="M3" t="s" s="5">
        <v>32</v>
      </c>
      <c r="N3" t="s" s="5">
        <v>28</v>
      </c>
    </row>
    <row r="4" ht="21.4" customHeight="1">
      <c r="B4" s="22">
        <v>2016</v>
      </c>
      <c r="C4" s="32">
        <v>72.39</v>
      </c>
      <c r="D4" s="33"/>
      <c r="E4" s="33"/>
      <c r="F4" s="33"/>
      <c r="G4" s="33"/>
      <c r="H4" s="33">
        <v>10.74</v>
      </c>
      <c r="I4" s="33">
        <f>H4-F4</f>
        <v>10.74</v>
      </c>
      <c r="J4" s="33">
        <v>-3.36</v>
      </c>
      <c r="K4" s="33">
        <v>-4</v>
      </c>
      <c r="L4" s="24">
        <f>H4+G4</f>
        <v>10.74</v>
      </c>
      <c r="M4" s="24"/>
      <c r="N4" s="33">
        <f>-K4</f>
        <v>4</v>
      </c>
    </row>
    <row r="5" ht="21.2" customHeight="1">
      <c r="B5" s="26"/>
      <c r="C5" s="16">
        <v>72.31</v>
      </c>
      <c r="D5" s="17"/>
      <c r="E5" s="13">
        <f>C5/C4-1</f>
        <v>-0.00110512501726758</v>
      </c>
      <c r="F5" s="17"/>
      <c r="G5" s="17"/>
      <c r="H5" s="17">
        <v>6.16</v>
      </c>
      <c r="I5" s="17">
        <f>H5-F5</f>
        <v>6.16</v>
      </c>
      <c r="J5" s="17">
        <v>-3.02</v>
      </c>
      <c r="K5" s="17">
        <v>-11.59</v>
      </c>
      <c r="L5" s="28">
        <f>H5+G5</f>
        <v>6.16</v>
      </c>
      <c r="M5" s="28"/>
      <c r="N5" s="17">
        <f>-K5+N4</f>
        <v>15.59</v>
      </c>
    </row>
    <row r="6" ht="21.2" customHeight="1">
      <c r="B6" s="26"/>
      <c r="C6" s="16">
        <v>55.3</v>
      </c>
      <c r="D6" s="17"/>
      <c r="E6" s="13">
        <f>C6/C5-1</f>
        <v>-0.235237173281704</v>
      </c>
      <c r="F6" s="17"/>
      <c r="G6" s="17"/>
      <c r="H6" s="17">
        <v>-1.9</v>
      </c>
      <c r="I6" s="17">
        <f>H6-F6</f>
        <v>-1.9</v>
      </c>
      <c r="J6" s="17">
        <v>-1.52</v>
      </c>
      <c r="K6" s="17">
        <v>-6.2</v>
      </c>
      <c r="L6" s="28">
        <f>H6+G6</f>
        <v>-1.9</v>
      </c>
      <c r="M6" s="28"/>
      <c r="N6" s="17">
        <f>-K6+N5</f>
        <v>21.79</v>
      </c>
    </row>
    <row r="7" ht="21.2" customHeight="1">
      <c r="B7" s="26"/>
      <c r="C7" s="16">
        <v>72.7</v>
      </c>
      <c r="D7" s="17"/>
      <c r="E7" s="13">
        <f>C7/C6-1</f>
        <v>0.314647377938517</v>
      </c>
      <c r="F7" s="17"/>
      <c r="G7" s="17"/>
      <c r="H7" s="17">
        <v>15.99</v>
      </c>
      <c r="I7" s="17">
        <f>H7-F7</f>
        <v>15.99</v>
      </c>
      <c r="J7" s="17">
        <v>-3.1</v>
      </c>
      <c r="K7" s="17">
        <v>-6.21</v>
      </c>
      <c r="L7" s="28">
        <f>H7+G7</f>
        <v>15.99</v>
      </c>
      <c r="M7" s="28"/>
      <c r="N7" s="17">
        <f>-K7+N6</f>
        <v>28</v>
      </c>
    </row>
    <row r="8" ht="21.2" customHeight="1">
      <c r="B8" s="29">
        <v>2017</v>
      </c>
      <c r="C8" s="16">
        <v>63.78</v>
      </c>
      <c r="D8" s="17"/>
      <c r="E8" s="13">
        <f>C8/C7-1</f>
        <v>-0.122696011004127</v>
      </c>
      <c r="F8" s="17"/>
      <c r="G8" s="17">
        <v>-3</v>
      </c>
      <c r="H8" s="17">
        <v>9.9</v>
      </c>
      <c r="I8" s="17">
        <f>H8-F8</f>
        <v>9.9</v>
      </c>
      <c r="J8" s="17">
        <v>-2.59</v>
      </c>
      <c r="K8" s="17">
        <v>-8.699999999999999</v>
      </c>
      <c r="L8" s="28">
        <f>H8+G8</f>
        <v>6.9</v>
      </c>
      <c r="M8" s="28">
        <f>AVERAGE(L5:L8)</f>
        <v>6.7875</v>
      </c>
      <c r="N8" s="17">
        <f>-K8+N7</f>
        <v>36.7</v>
      </c>
    </row>
    <row r="9" ht="21.2" customHeight="1">
      <c r="B9" s="26"/>
      <c r="C9" s="16">
        <v>68.69</v>
      </c>
      <c r="D9" s="17"/>
      <c r="E9" s="13">
        <f>C9/C8-1</f>
        <v>0.076983380370022</v>
      </c>
      <c r="F9" s="17"/>
      <c r="G9" s="17">
        <v>-3</v>
      </c>
      <c r="H9" s="17">
        <v>8.199999999999999</v>
      </c>
      <c r="I9" s="17">
        <f>H9-F9</f>
        <v>8.199999999999999</v>
      </c>
      <c r="J9" s="17">
        <v>-2.09</v>
      </c>
      <c r="K9" s="17">
        <v>7.12</v>
      </c>
      <c r="L9" s="28">
        <f>H9+G9</f>
        <v>5.2</v>
      </c>
      <c r="M9" s="28">
        <f>AVERAGE(L6:L9)</f>
        <v>6.5475</v>
      </c>
      <c r="N9" s="17">
        <f>-K9+N8</f>
        <v>29.58</v>
      </c>
    </row>
    <row r="10" ht="21.2" customHeight="1">
      <c r="B10" s="26"/>
      <c r="C10" s="16">
        <v>81.53</v>
      </c>
      <c r="D10" s="17"/>
      <c r="E10" s="13">
        <f>C10/C9-1</f>
        <v>0.186926772455962</v>
      </c>
      <c r="F10" s="17"/>
      <c r="G10" s="17">
        <v>-3</v>
      </c>
      <c r="H10" s="17">
        <v>16.5</v>
      </c>
      <c r="I10" s="17">
        <f>H10-F10</f>
        <v>16.5</v>
      </c>
      <c r="J10" s="17">
        <v>-17.9</v>
      </c>
      <c r="K10" s="17">
        <v>-5.42</v>
      </c>
      <c r="L10" s="28">
        <f>H10+G10</f>
        <v>13.5</v>
      </c>
      <c r="M10" s="28">
        <f>AVERAGE(L7:L10)</f>
        <v>10.3975</v>
      </c>
      <c r="N10" s="17">
        <f>-K10+N9</f>
        <v>35</v>
      </c>
    </row>
    <row r="11" ht="21.2" customHeight="1">
      <c r="B11" s="26"/>
      <c r="C11" s="16">
        <v>77.27</v>
      </c>
      <c r="D11" s="17"/>
      <c r="E11" s="13">
        <f>C11/C10-1</f>
        <v>-0.0522507052618668</v>
      </c>
      <c r="F11" s="17">
        <v>-38.6</v>
      </c>
      <c r="G11" s="17">
        <v>-3</v>
      </c>
      <c r="H11" s="17">
        <v>-14.92</v>
      </c>
      <c r="I11" s="17">
        <f>H11-F11</f>
        <v>23.68</v>
      </c>
      <c r="J11" s="17">
        <v>-5.65</v>
      </c>
      <c r="K11" s="17">
        <v>36</v>
      </c>
      <c r="L11" s="28">
        <f>H11+G11</f>
        <v>-17.92</v>
      </c>
      <c r="M11" s="28">
        <f>AVERAGE(L8:L11)</f>
        <v>1.92</v>
      </c>
      <c r="N11" s="17">
        <f>-K11+N10</f>
        <v>-1</v>
      </c>
    </row>
    <row r="12" ht="21.2" customHeight="1">
      <c r="B12" s="29">
        <v>2018</v>
      </c>
      <c r="C12" s="16">
        <v>94.84999999999999</v>
      </c>
      <c r="D12" s="17"/>
      <c r="E12" s="13">
        <f>C12/C11-1</f>
        <v>0.227513912255727</v>
      </c>
      <c r="F12" s="17">
        <v>-1.6</v>
      </c>
      <c r="G12" s="17">
        <v>-2.75</v>
      </c>
      <c r="H12" s="17">
        <v>30</v>
      </c>
      <c r="I12" s="17">
        <f>H12-F12</f>
        <v>31.6</v>
      </c>
      <c r="J12" s="17">
        <v>-3.2</v>
      </c>
      <c r="K12" s="17">
        <v>-4.2</v>
      </c>
      <c r="L12" s="28">
        <f>H12+G12</f>
        <v>27.25</v>
      </c>
      <c r="M12" s="28">
        <f>AVERAGE(L9:L12)</f>
        <v>7.0075</v>
      </c>
      <c r="N12" s="17">
        <f>-K12+N11</f>
        <v>3.2</v>
      </c>
    </row>
    <row r="13" ht="21.2" customHeight="1">
      <c r="B13" s="26"/>
      <c r="C13" s="16">
        <v>79.15000000000001</v>
      </c>
      <c r="D13" s="17"/>
      <c r="E13" s="13">
        <f>C13/C12-1</f>
        <v>-0.165524512387981</v>
      </c>
      <c r="F13" s="17">
        <v>-2</v>
      </c>
      <c r="G13" s="17">
        <v>-2.75</v>
      </c>
      <c r="H13" s="17">
        <v>-11.68</v>
      </c>
      <c r="I13" s="17">
        <f>H13-F13</f>
        <v>-9.68</v>
      </c>
      <c r="J13" s="17">
        <v>-9.699999999999999</v>
      </c>
      <c r="K13" s="17">
        <v>-8.1</v>
      </c>
      <c r="L13" s="28">
        <f>H13+G13</f>
        <v>-14.43</v>
      </c>
      <c r="M13" s="28">
        <f>AVERAGE(L10:L13)</f>
        <v>2.1</v>
      </c>
      <c r="N13" s="17">
        <f>-K13+N12</f>
        <v>11.3</v>
      </c>
    </row>
    <row r="14" ht="21.2" customHeight="1">
      <c r="B14" s="26"/>
      <c r="C14" s="16">
        <v>116</v>
      </c>
      <c r="D14" s="17"/>
      <c r="E14" s="13">
        <f>C14/C13-1</f>
        <v>0.465571699305117</v>
      </c>
      <c r="F14" s="17">
        <v>-2.4</v>
      </c>
      <c r="G14" s="17">
        <v>-2.75</v>
      </c>
      <c r="H14" s="17">
        <v>30.68</v>
      </c>
      <c r="I14" s="17">
        <f>H14-F14</f>
        <v>33.08</v>
      </c>
      <c r="J14" s="17">
        <v>-2.1</v>
      </c>
      <c r="K14" s="17">
        <v>-9.699999999999999</v>
      </c>
      <c r="L14" s="28">
        <f>H14+G14</f>
        <v>27.93</v>
      </c>
      <c r="M14" s="28">
        <f>AVERAGE(L11:L14)</f>
        <v>5.7075</v>
      </c>
      <c r="N14" s="17">
        <f>-K14+N13</f>
        <v>21</v>
      </c>
    </row>
    <row r="15" ht="21.2" customHeight="1">
      <c r="B15" s="26"/>
      <c r="C15" s="16">
        <v>102</v>
      </c>
      <c r="D15" s="17"/>
      <c r="E15" s="13">
        <f>C15/C14-1</f>
        <v>-0.120689655172414</v>
      </c>
      <c r="F15" s="17">
        <v>-10</v>
      </c>
      <c r="G15" s="17">
        <v>-2.75</v>
      </c>
      <c r="H15" s="17">
        <v>-11</v>
      </c>
      <c r="I15" s="17">
        <f>H15-F15</f>
        <v>-1</v>
      </c>
      <c r="J15" s="17">
        <v>-56</v>
      </c>
      <c r="K15" s="17">
        <v>55</v>
      </c>
      <c r="L15" s="28">
        <f>H15+G15</f>
        <v>-13.75</v>
      </c>
      <c r="M15" s="28">
        <f>AVERAGE(L12:L15)</f>
        <v>6.75</v>
      </c>
      <c r="N15" s="17">
        <f>-K15+N14</f>
        <v>-34</v>
      </c>
    </row>
    <row r="16" ht="21.2" customHeight="1">
      <c r="B16" s="29">
        <v>2019</v>
      </c>
      <c r="C16" s="16">
        <v>85</v>
      </c>
      <c r="D16" s="17"/>
      <c r="E16" s="13">
        <f>C16/C15-1</f>
        <v>-0.166666666666667</v>
      </c>
      <c r="F16" s="17">
        <v>-14</v>
      </c>
      <c r="G16" s="17">
        <v>-2.25</v>
      </c>
      <c r="H16" s="17">
        <v>-20</v>
      </c>
      <c r="I16" s="17">
        <f>H16-F16</f>
        <v>-6</v>
      </c>
      <c r="J16" s="17">
        <v>-22</v>
      </c>
      <c r="K16" s="17">
        <v>30</v>
      </c>
      <c r="L16" s="28">
        <f>H16+G16</f>
        <v>-22.25</v>
      </c>
      <c r="M16" s="28">
        <f>AVERAGE(L13:L16)</f>
        <v>-5.625</v>
      </c>
      <c r="N16" s="17">
        <f>-K16+N15</f>
        <v>-64</v>
      </c>
    </row>
    <row r="17" ht="21.2" customHeight="1">
      <c r="B17" s="26"/>
      <c r="C17" s="16">
        <v>93</v>
      </c>
      <c r="D17" s="17"/>
      <c r="E17" s="13">
        <f>C17/C16-1</f>
        <v>0.0941176470588235</v>
      </c>
      <c r="F17" s="17">
        <v>-43</v>
      </c>
      <c r="G17" s="17">
        <v>-2.25</v>
      </c>
      <c r="H17" s="17">
        <v>-33</v>
      </c>
      <c r="I17" s="17">
        <f>H17-F17</f>
        <v>10</v>
      </c>
      <c r="J17" s="17">
        <v>13.9</v>
      </c>
      <c r="K17" s="17">
        <v>6</v>
      </c>
      <c r="L17" s="28">
        <f>H17+G17</f>
        <v>-35.25</v>
      </c>
      <c r="M17" s="28">
        <f>AVERAGE(L14:L17)</f>
        <v>-10.83</v>
      </c>
      <c r="N17" s="17">
        <f>-K17+N16</f>
        <v>-70</v>
      </c>
    </row>
    <row r="18" ht="21.2" customHeight="1">
      <c r="B18" s="26"/>
      <c r="C18" s="16">
        <v>67</v>
      </c>
      <c r="D18" s="17"/>
      <c r="E18" s="13">
        <f>C18/C17-1</f>
        <v>-0.279569892473118</v>
      </c>
      <c r="F18" s="17">
        <v>-15</v>
      </c>
      <c r="G18" s="17">
        <v>-2.25</v>
      </c>
      <c r="H18" s="17">
        <v>-14</v>
      </c>
      <c r="I18" s="17">
        <f>H18-F18</f>
        <v>1</v>
      </c>
      <c r="J18" s="17">
        <v>3.1</v>
      </c>
      <c r="K18" s="17">
        <v>7</v>
      </c>
      <c r="L18" s="28">
        <f>H18+G18</f>
        <v>-16.25</v>
      </c>
      <c r="M18" s="28">
        <f>AVERAGE(L15:L18)</f>
        <v>-21.875</v>
      </c>
      <c r="N18" s="17">
        <f>-K18+N17</f>
        <v>-77</v>
      </c>
    </row>
    <row r="19" ht="21.2" customHeight="1">
      <c r="B19" s="26"/>
      <c r="C19" s="16">
        <v>73</v>
      </c>
      <c r="D19" s="17"/>
      <c r="E19" s="13">
        <f>C19/C18-1</f>
        <v>0.0895522388059701</v>
      </c>
      <c r="F19" s="17">
        <v>-53</v>
      </c>
      <c r="G19" s="17">
        <v>-2.25</v>
      </c>
      <c r="H19" s="17">
        <v>-60</v>
      </c>
      <c r="I19" s="17">
        <f>H19-F19</f>
        <v>-7</v>
      </c>
      <c r="J19" s="17">
        <v>12</v>
      </c>
      <c r="K19" s="17">
        <v>41</v>
      </c>
      <c r="L19" s="28">
        <f>H19+G19</f>
        <v>-62.25</v>
      </c>
      <c r="M19" s="28">
        <f>AVERAGE(L16:L19)</f>
        <v>-34</v>
      </c>
      <c r="N19" s="17">
        <f>-K19+N18</f>
        <v>-118</v>
      </c>
    </row>
    <row r="20" ht="21.2" customHeight="1">
      <c r="B20" s="29">
        <v>2020</v>
      </c>
      <c r="C20" s="16">
        <v>84</v>
      </c>
      <c r="D20" s="17"/>
      <c r="E20" s="13">
        <f>C20/C19-1</f>
        <v>0.150684931506849</v>
      </c>
      <c r="F20" s="17">
        <v>-41</v>
      </c>
      <c r="G20" s="17">
        <v>-2</v>
      </c>
      <c r="H20" s="17">
        <v>-23</v>
      </c>
      <c r="I20" s="17">
        <f>H20-F20</f>
        <v>18</v>
      </c>
      <c r="J20" s="17">
        <v>-6</v>
      </c>
      <c r="K20" s="17">
        <v>39</v>
      </c>
      <c r="L20" s="28">
        <f>H20+G20</f>
        <v>-25</v>
      </c>
      <c r="M20" s="28">
        <f>AVERAGE(L17:L20)</f>
        <v>-34.6875</v>
      </c>
      <c r="N20" s="17">
        <f>-K20+N19</f>
        <v>-157</v>
      </c>
    </row>
    <row r="21" ht="21.2" customHeight="1">
      <c r="B21" s="26"/>
      <c r="C21" s="16">
        <v>53</v>
      </c>
      <c r="D21" s="17"/>
      <c r="E21" s="13">
        <f>C21/C20-1</f>
        <v>-0.369047619047619</v>
      </c>
      <c r="F21" s="17">
        <v>-30</v>
      </c>
      <c r="G21" s="17">
        <v>-2</v>
      </c>
      <c r="H21" s="17">
        <v>-31</v>
      </c>
      <c r="I21" s="17">
        <f>H21-F21</f>
        <v>-1</v>
      </c>
      <c r="J21" s="17">
        <v>3.6</v>
      </c>
      <c r="K21" s="17">
        <v>23</v>
      </c>
      <c r="L21" s="28">
        <f>H21+G21</f>
        <v>-33</v>
      </c>
      <c r="M21" s="28">
        <f>AVERAGE(L18:L21)</f>
        <v>-34.125</v>
      </c>
      <c r="N21" s="17">
        <f>-K21+N20</f>
        <v>-180</v>
      </c>
    </row>
    <row r="22" ht="21.2" customHeight="1">
      <c r="B22" s="26"/>
      <c r="C22" s="16">
        <v>28</v>
      </c>
      <c r="D22" s="17"/>
      <c r="E22" s="13">
        <f>C22/C21-1</f>
        <v>-0.471698113207547</v>
      </c>
      <c r="F22" s="17">
        <v>-26</v>
      </c>
      <c r="G22" s="17">
        <v>-2</v>
      </c>
      <c r="H22" s="17">
        <v>-32</v>
      </c>
      <c r="I22" s="17">
        <f>H22-F22</f>
        <v>-6</v>
      </c>
      <c r="J22" s="17">
        <v>7.4</v>
      </c>
      <c r="K22" s="17">
        <v>19</v>
      </c>
      <c r="L22" s="28">
        <f>H22+G22</f>
        <v>-34</v>
      </c>
      <c r="M22" s="28">
        <f>AVERAGE(L19:L22)</f>
        <v>-38.5625</v>
      </c>
      <c r="N22" s="17">
        <f>-K22+N21</f>
        <v>-199</v>
      </c>
    </row>
    <row r="23" ht="21.2" customHeight="1">
      <c r="B23" s="26"/>
      <c r="C23" s="27">
        <f>204.4-SUM(C20:C22)</f>
        <v>39.4</v>
      </c>
      <c r="D23" s="28"/>
      <c r="E23" s="13">
        <f>C23/C22-1</f>
        <v>0.407142857142857</v>
      </c>
      <c r="F23" s="28">
        <f>-121.7-SUM(F20:F22)</f>
        <v>-24.7</v>
      </c>
      <c r="G23" s="28">
        <v>-2</v>
      </c>
      <c r="H23" s="28">
        <f>-111.9-SUM(H20:H22)</f>
        <v>-25.9</v>
      </c>
      <c r="I23" s="17">
        <f>H23-F23</f>
        <v>-1.2</v>
      </c>
      <c r="J23" s="28">
        <f>6.8-SUM(J20:J22)</f>
        <v>1.8</v>
      </c>
      <c r="K23" s="28">
        <f>109.9-SUM(K20:K22)</f>
        <v>28.9</v>
      </c>
      <c r="L23" s="28">
        <f>H23+G23</f>
        <v>-27.9</v>
      </c>
      <c r="M23" s="28">
        <f>AVERAGE(L20:L23)</f>
        <v>-29.975</v>
      </c>
      <c r="N23" s="17">
        <f>-K23+N22</f>
        <v>-227.9</v>
      </c>
    </row>
    <row r="24" ht="21.2" customHeight="1">
      <c r="B24" s="29">
        <v>2021</v>
      </c>
      <c r="C24" s="27">
        <v>67.2</v>
      </c>
      <c r="D24" s="28"/>
      <c r="E24" s="13">
        <f>C24/C23-1</f>
        <v>0.705583756345178</v>
      </c>
      <c r="F24" s="28">
        <v>-13</v>
      </c>
      <c r="G24" s="28">
        <v>-1.2</v>
      </c>
      <c r="H24" s="28">
        <v>9.9</v>
      </c>
      <c r="I24" s="17">
        <f>H24-F24</f>
        <v>22.9</v>
      </c>
      <c r="J24" s="28">
        <v>3.5</v>
      </c>
      <c r="K24" s="28">
        <v>-1.6</v>
      </c>
      <c r="L24" s="28">
        <f>H24+G24</f>
        <v>8.699999999999999</v>
      </c>
      <c r="M24" s="28">
        <f>AVERAGE(L21:L24)</f>
        <v>-21.55</v>
      </c>
      <c r="N24" s="17">
        <f>-K24+N23</f>
        <v>-226.3</v>
      </c>
    </row>
    <row r="25" ht="21.2" customHeight="1">
      <c r="B25" s="26"/>
      <c r="C25" s="27">
        <f>145.5-C24</f>
        <v>78.3</v>
      </c>
      <c r="D25" s="28"/>
      <c r="E25" s="13">
        <f>C25/C24-1</f>
        <v>0.165178571428571</v>
      </c>
      <c r="F25" s="28">
        <f>-23.8-F24</f>
        <v>-10.8</v>
      </c>
      <c r="G25" s="28">
        <v>-1.2</v>
      </c>
      <c r="H25" s="28">
        <f>2.9-H24</f>
        <v>-7</v>
      </c>
      <c r="I25" s="17">
        <f>H25-F25</f>
        <v>3.8</v>
      </c>
      <c r="J25" s="28">
        <f>7.9-J24</f>
        <v>4.4</v>
      </c>
      <c r="K25" s="28">
        <f>-17.1-K24</f>
        <v>-15.5</v>
      </c>
      <c r="L25" s="28">
        <f>H25+G25</f>
        <v>-8.199999999999999</v>
      </c>
      <c r="M25" s="28">
        <f>AVERAGE(L22:L25)</f>
        <v>-15.35</v>
      </c>
      <c r="N25" s="17">
        <f>-K25+N24</f>
        <v>-210.8</v>
      </c>
    </row>
    <row r="26" ht="21.2" customHeight="1">
      <c r="B26" s="26"/>
      <c r="C26" s="27">
        <f>238.8-SUM(C24:C25)</f>
        <v>93.3</v>
      </c>
      <c r="D26" s="28">
        <f>'Model'!C6</f>
        <v>116.625</v>
      </c>
      <c r="E26" s="13">
        <f>C26/C25-1</f>
        <v>0.191570881226054</v>
      </c>
      <c r="F26" s="28">
        <f>-31.3-SUM(F24:F25)</f>
        <v>-7.5</v>
      </c>
      <c r="G26" s="28">
        <f>-4-0.8-SUM(G24:G25)</f>
        <v>-2.4</v>
      </c>
      <c r="H26" s="28">
        <f>-0.9-SUM(H24:H25)</f>
        <v>-3.8</v>
      </c>
      <c r="I26" s="17">
        <f>H26-F26</f>
        <v>3.7</v>
      </c>
      <c r="J26" s="28">
        <f>78.5-SUM(J24:J25)</f>
        <v>70.59999999999999</v>
      </c>
      <c r="K26" s="28">
        <f>-40.8-SUM(K24:K25)</f>
        <v>-23.7</v>
      </c>
      <c r="L26" s="28">
        <f>H26+G26</f>
        <v>-6.2</v>
      </c>
      <c r="M26" s="28">
        <f>AVERAGE(L23:L26)</f>
        <v>-8.4</v>
      </c>
      <c r="N26" s="17">
        <f>-K26+N25</f>
        <v>-187.1</v>
      </c>
    </row>
    <row r="27" ht="21.2" customHeight="1">
      <c r="B27" s="26"/>
      <c r="C27" s="27"/>
      <c r="D27" s="34">
        <f>'Model'!C6</f>
        <v>116.625</v>
      </c>
      <c r="E27" s="28"/>
      <c r="F27" s="28"/>
      <c r="G27" s="28"/>
      <c r="H27" s="28"/>
      <c r="I27" s="17"/>
      <c r="J27" s="28"/>
      <c r="K27" s="28"/>
      <c r="L27" s="28"/>
      <c r="M27" s="28">
        <f>SUM('Model'!F9:F10)</f>
        <v>18.899733984375</v>
      </c>
      <c r="N27" s="17">
        <f>'Model'!F33</f>
        <v>-122.859662220982</v>
      </c>
    </row>
    <row r="28" ht="21.2" customHeight="1">
      <c r="B28" s="29">
        <v>2022</v>
      </c>
      <c r="C28" s="27"/>
      <c r="D28" s="28">
        <f>'Model'!D6</f>
        <v>114.2925</v>
      </c>
      <c r="E28" s="28"/>
      <c r="F28" s="28"/>
      <c r="G28" s="28"/>
      <c r="H28" s="28"/>
      <c r="I28" s="17"/>
      <c r="J28" s="28"/>
      <c r="K28" s="28"/>
      <c r="L28" s="28"/>
      <c r="M28" s="28"/>
      <c r="N28" s="17"/>
    </row>
    <row r="29" ht="21.2" customHeight="1">
      <c r="B29" s="26"/>
      <c r="C29" s="27"/>
      <c r="D29" s="28">
        <f>'Model'!E6</f>
        <v>125.72175</v>
      </c>
      <c r="E29" s="28"/>
      <c r="F29" s="28"/>
      <c r="G29" s="28"/>
      <c r="H29" s="28"/>
      <c r="I29" s="17"/>
      <c r="J29" s="28"/>
      <c r="K29" s="28"/>
      <c r="L29" s="28"/>
      <c r="M29" s="28"/>
      <c r="N29" s="17"/>
    </row>
    <row r="30" ht="21.2" customHeight="1">
      <c r="B30" s="26"/>
      <c r="C30" s="27"/>
      <c r="D30" s="28">
        <f>'Model'!F6</f>
        <v>144.5800125</v>
      </c>
      <c r="E30" s="28"/>
      <c r="F30" s="28"/>
      <c r="G30" s="28"/>
      <c r="H30" s="28"/>
      <c r="I30" s="17"/>
      <c r="J30" s="28"/>
      <c r="K30" s="28"/>
      <c r="L30" s="28"/>
      <c r="M30" s="28"/>
      <c r="N30" s="17"/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5" customWidth="1"/>
    <col min="2" max="11" width="9.21875" style="35" customWidth="1"/>
    <col min="12" max="16384" width="16.3516" style="35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21</v>
      </c>
      <c r="F3" t="s" s="5">
        <v>22</v>
      </c>
      <c r="G3" t="s" s="5">
        <v>11</v>
      </c>
      <c r="H3" t="s" s="5">
        <v>12</v>
      </c>
      <c r="I3" t="s" s="5">
        <v>52</v>
      </c>
      <c r="J3" t="s" s="5">
        <v>53</v>
      </c>
      <c r="K3" t="s" s="5">
        <v>34</v>
      </c>
    </row>
    <row r="4" ht="20.25" customHeight="1">
      <c r="B4" s="22">
        <v>2016</v>
      </c>
      <c r="C4" s="32">
        <v>49</v>
      </c>
      <c r="D4" s="33">
        <v>282</v>
      </c>
      <c r="E4" s="33">
        <f>D4-C4</f>
        <v>233</v>
      </c>
      <c r="F4" s="33"/>
      <c r="G4" s="33">
        <v>122</v>
      </c>
      <c r="H4" s="33">
        <v>160</v>
      </c>
      <c r="I4" s="33">
        <f>G4+H4-C4-E4</f>
        <v>0</v>
      </c>
      <c r="J4" s="33">
        <f>C4-G4</f>
        <v>-73</v>
      </c>
      <c r="K4" s="33"/>
    </row>
    <row r="5" ht="20.05" customHeight="1">
      <c r="B5" s="26"/>
      <c r="C5" s="16">
        <v>41</v>
      </c>
      <c r="D5" s="17">
        <v>269</v>
      </c>
      <c r="E5" s="17">
        <f>D5-C5</f>
        <v>228</v>
      </c>
      <c r="F5" s="17"/>
      <c r="G5" s="17">
        <v>112</v>
      </c>
      <c r="H5" s="17">
        <v>157</v>
      </c>
      <c r="I5" s="17">
        <f>G5+H5-C5-E5</f>
        <v>0</v>
      </c>
      <c r="J5" s="17">
        <f>C5-G5</f>
        <v>-71</v>
      </c>
      <c r="K5" s="17"/>
    </row>
    <row r="6" ht="20.05" customHeight="1">
      <c r="B6" s="26"/>
      <c r="C6" s="16">
        <v>31</v>
      </c>
      <c r="D6" s="17">
        <v>262</v>
      </c>
      <c r="E6" s="17">
        <f>D6-C6</f>
        <v>231</v>
      </c>
      <c r="F6" s="17"/>
      <c r="G6" s="17">
        <v>111</v>
      </c>
      <c r="H6" s="17">
        <v>151</v>
      </c>
      <c r="I6" s="17">
        <f>G6+H6-C6-E6</f>
        <v>0</v>
      </c>
      <c r="J6" s="17">
        <f>C6-G6</f>
        <v>-80</v>
      </c>
      <c r="K6" s="17"/>
    </row>
    <row r="7" ht="20.05" customHeight="1">
      <c r="B7" s="26"/>
      <c r="C7" s="16">
        <v>38</v>
      </c>
      <c r="D7" s="17">
        <v>262</v>
      </c>
      <c r="E7" s="17">
        <f>D7-C7</f>
        <v>224</v>
      </c>
      <c r="F7" s="17"/>
      <c r="G7" s="17">
        <v>114</v>
      </c>
      <c r="H7" s="17">
        <v>148</v>
      </c>
      <c r="I7" s="17">
        <f>G7+H7-C7-E7</f>
        <v>0</v>
      </c>
      <c r="J7" s="17">
        <f>C7-G7</f>
        <v>-76</v>
      </c>
      <c r="K7" s="17"/>
    </row>
    <row r="8" ht="20.05" customHeight="1">
      <c r="B8" s="29">
        <v>2017</v>
      </c>
      <c r="C8" s="16">
        <v>37</v>
      </c>
      <c r="D8" s="17">
        <v>261</v>
      </c>
      <c r="E8" s="17">
        <f>D8-C8</f>
        <v>224</v>
      </c>
      <c r="F8" s="17"/>
      <c r="G8" s="17">
        <v>106</v>
      </c>
      <c r="H8" s="17">
        <v>155</v>
      </c>
      <c r="I8" s="17">
        <f>G8+H8-C8-E8</f>
        <v>0</v>
      </c>
      <c r="J8" s="17">
        <f>C8-G8</f>
        <v>-69</v>
      </c>
      <c r="K8" s="17"/>
    </row>
    <row r="9" ht="20.05" customHeight="1">
      <c r="B9" s="26"/>
      <c r="C9" s="16">
        <v>50</v>
      </c>
      <c r="D9" s="17">
        <v>276</v>
      </c>
      <c r="E9" s="17">
        <f>D9-C9</f>
        <v>226</v>
      </c>
      <c r="F9" s="17"/>
      <c r="G9" s="17">
        <v>121</v>
      </c>
      <c r="H9" s="17">
        <v>156</v>
      </c>
      <c r="I9" s="17">
        <f>G9+H9-C9-E9</f>
        <v>1</v>
      </c>
      <c r="J9" s="17">
        <f>C9-G9</f>
        <v>-71</v>
      </c>
      <c r="K9" s="17"/>
    </row>
    <row r="10" ht="20.05" customHeight="1">
      <c r="B10" s="26"/>
      <c r="C10" s="16">
        <v>43</v>
      </c>
      <c r="D10" s="17">
        <v>297</v>
      </c>
      <c r="E10" s="17">
        <f>D10-C10</f>
        <v>254</v>
      </c>
      <c r="F10" s="17"/>
      <c r="G10" s="17">
        <v>136</v>
      </c>
      <c r="H10" s="17">
        <v>162</v>
      </c>
      <c r="I10" s="17">
        <f>G10+H10-C10-E10</f>
        <v>1</v>
      </c>
      <c r="J10" s="17">
        <f>C10-G10</f>
        <v>-93</v>
      </c>
      <c r="K10" s="17"/>
    </row>
    <row r="11" ht="20.05" customHeight="1">
      <c r="B11" s="26"/>
      <c r="C11" s="16">
        <v>58</v>
      </c>
      <c r="D11" s="17">
        <v>348</v>
      </c>
      <c r="E11" s="17">
        <f>D11-C11</f>
        <v>290</v>
      </c>
      <c r="F11" s="17"/>
      <c r="G11" s="17">
        <v>174</v>
      </c>
      <c r="H11" s="17">
        <v>175</v>
      </c>
      <c r="I11" s="17">
        <f>G11+H11-C11-E11</f>
        <v>1</v>
      </c>
      <c r="J11" s="17">
        <f>C11-G11</f>
        <v>-116</v>
      </c>
      <c r="K11" s="17"/>
    </row>
    <row r="12" ht="20.05" customHeight="1">
      <c r="B12" s="29">
        <v>2018</v>
      </c>
      <c r="C12" s="16">
        <v>80</v>
      </c>
      <c r="D12" s="17">
        <v>380</v>
      </c>
      <c r="E12" s="17">
        <f>D12-C12</f>
        <v>300</v>
      </c>
      <c r="F12" s="17"/>
      <c r="G12" s="17">
        <v>177</v>
      </c>
      <c r="H12" s="17">
        <v>203</v>
      </c>
      <c r="I12" s="17">
        <f>G12+H12-C12-E12</f>
        <v>0</v>
      </c>
      <c r="J12" s="17">
        <f>C12-G12</f>
        <v>-97</v>
      </c>
      <c r="K12" s="17"/>
    </row>
    <row r="13" ht="20.05" customHeight="1">
      <c r="B13" s="26"/>
      <c r="C13" s="16">
        <v>51</v>
      </c>
      <c r="D13" s="17">
        <v>371</v>
      </c>
      <c r="E13" s="17">
        <f>D13-C13</f>
        <v>320</v>
      </c>
      <c r="F13" s="17"/>
      <c r="G13" s="17">
        <v>173</v>
      </c>
      <c r="H13" s="17">
        <v>198</v>
      </c>
      <c r="I13" s="17">
        <f>G13+H13-C13-E13</f>
        <v>0</v>
      </c>
      <c r="J13" s="17">
        <f>C13-G13</f>
        <v>-122</v>
      </c>
      <c r="K13" s="17"/>
    </row>
    <row r="14" ht="20.05" customHeight="1">
      <c r="B14" s="26"/>
      <c r="C14" s="16">
        <v>68</v>
      </c>
      <c r="D14" s="17">
        <v>390</v>
      </c>
      <c r="E14" s="17">
        <f>D14-C14</f>
        <v>322</v>
      </c>
      <c r="F14" s="17"/>
      <c r="G14" s="17">
        <v>187</v>
      </c>
      <c r="H14" s="17">
        <v>203</v>
      </c>
      <c r="I14" s="17">
        <f>G14+H14-C14-E14</f>
        <v>0</v>
      </c>
      <c r="J14" s="17">
        <f>C14-G14</f>
        <v>-119</v>
      </c>
      <c r="K14" s="17"/>
    </row>
    <row r="15" ht="20.05" customHeight="1">
      <c r="B15" s="26"/>
      <c r="C15" s="16">
        <v>57</v>
      </c>
      <c r="D15" s="17">
        <v>502</v>
      </c>
      <c r="E15" s="17">
        <f>D15-C15</f>
        <v>445</v>
      </c>
      <c r="F15" s="17"/>
      <c r="G15" s="17">
        <v>286</v>
      </c>
      <c r="H15" s="17">
        <v>216</v>
      </c>
      <c r="I15" s="17">
        <f>G15+H15-C15-E15</f>
        <v>0</v>
      </c>
      <c r="J15" s="17">
        <f>C15-G15</f>
        <v>-229</v>
      </c>
      <c r="K15" s="17"/>
    </row>
    <row r="16" ht="20.05" customHeight="1">
      <c r="B16" s="29">
        <v>2019</v>
      </c>
      <c r="C16" s="16">
        <v>45</v>
      </c>
      <c r="D16" s="17">
        <v>521</v>
      </c>
      <c r="E16" s="17">
        <f>D16-C16</f>
        <v>476</v>
      </c>
      <c r="F16" s="17"/>
      <c r="G16" s="17">
        <v>296</v>
      </c>
      <c r="H16" s="17">
        <v>225</v>
      </c>
      <c r="I16" s="17">
        <f>G16+H16-C16-E16</f>
        <v>0</v>
      </c>
      <c r="J16" s="17">
        <f>C16-G16</f>
        <v>-251</v>
      </c>
      <c r="K16" s="17"/>
    </row>
    <row r="17" ht="20.05" customHeight="1">
      <c r="B17" s="26"/>
      <c r="C17" s="16">
        <v>32</v>
      </c>
      <c r="D17" s="17">
        <v>521</v>
      </c>
      <c r="E17" s="17">
        <f>D17-C17</f>
        <v>489</v>
      </c>
      <c r="F17" s="17"/>
      <c r="G17" s="17">
        <v>292</v>
      </c>
      <c r="H17" s="17">
        <v>229</v>
      </c>
      <c r="I17" s="17">
        <f>G17+H17-C17-E17</f>
        <v>0</v>
      </c>
      <c r="J17" s="17">
        <f>C17-G17</f>
        <v>-260</v>
      </c>
      <c r="K17" s="17"/>
    </row>
    <row r="18" ht="20.05" customHeight="1">
      <c r="B18" s="26"/>
      <c r="C18" s="16">
        <v>28</v>
      </c>
      <c r="D18" s="17">
        <v>557</v>
      </c>
      <c r="E18" s="17">
        <f>D18-C18</f>
        <v>529</v>
      </c>
      <c r="F18" s="17"/>
      <c r="G18" s="17">
        <v>317</v>
      </c>
      <c r="H18" s="17">
        <v>240</v>
      </c>
      <c r="I18" s="17">
        <f>G18+H18-C18-E18</f>
        <v>0</v>
      </c>
      <c r="J18" s="17">
        <f>C18-G18</f>
        <v>-289</v>
      </c>
      <c r="K18" s="17"/>
    </row>
    <row r="19" ht="20.05" customHeight="1">
      <c r="B19" s="26"/>
      <c r="C19" s="16">
        <v>21</v>
      </c>
      <c r="D19" s="17">
        <v>635</v>
      </c>
      <c r="E19" s="17">
        <f>D19-C19</f>
        <v>614</v>
      </c>
      <c r="F19" s="17"/>
      <c r="G19" s="17">
        <v>371</v>
      </c>
      <c r="H19" s="17">
        <v>264</v>
      </c>
      <c r="I19" s="17">
        <f>G19+H19-C19-E19</f>
        <v>0</v>
      </c>
      <c r="J19" s="17">
        <f>C19-G19</f>
        <v>-350</v>
      </c>
      <c r="K19" s="17"/>
    </row>
    <row r="20" ht="20.05" customHeight="1">
      <c r="B20" s="29">
        <v>2020</v>
      </c>
      <c r="C20" s="16">
        <v>29</v>
      </c>
      <c r="D20" s="17">
        <v>728</v>
      </c>
      <c r="E20" s="17">
        <f>D20-C20</f>
        <v>699</v>
      </c>
      <c r="F20" s="17"/>
      <c r="G20" s="17">
        <v>443</v>
      </c>
      <c r="H20" s="17">
        <v>286</v>
      </c>
      <c r="I20" s="17">
        <f>G20+H20-C20-E20</f>
        <v>1</v>
      </c>
      <c r="J20" s="17">
        <f>C20-G20</f>
        <v>-414</v>
      </c>
      <c r="K20" s="17"/>
    </row>
    <row r="21" ht="20.05" customHeight="1">
      <c r="B21" s="26"/>
      <c r="C21" s="16">
        <v>25</v>
      </c>
      <c r="D21" s="17">
        <v>738</v>
      </c>
      <c r="E21" s="17">
        <f>D21-C21</f>
        <v>713</v>
      </c>
      <c r="F21" s="17"/>
      <c r="G21" s="17">
        <v>452</v>
      </c>
      <c r="H21" s="17">
        <v>286</v>
      </c>
      <c r="I21" s="17">
        <f>G21+H21-C21-E21</f>
        <v>0</v>
      </c>
      <c r="J21" s="17">
        <f>C21-G21</f>
        <v>-427</v>
      </c>
      <c r="K21" s="17"/>
    </row>
    <row r="22" ht="20.05" customHeight="1">
      <c r="B22" s="26"/>
      <c r="C22" s="16">
        <v>20</v>
      </c>
      <c r="D22" s="17">
        <v>753</v>
      </c>
      <c r="E22" s="17">
        <f>D22-C22</f>
        <v>733</v>
      </c>
      <c r="F22" s="17">
        <v>60</v>
      </c>
      <c r="G22" s="17">
        <v>454</v>
      </c>
      <c r="H22" s="17">
        <v>300</v>
      </c>
      <c r="I22" s="17">
        <f>G22+H22-C22-E22</f>
        <v>1</v>
      </c>
      <c r="J22" s="17">
        <f>C22-G22</f>
        <v>-434</v>
      </c>
      <c r="K22" s="17"/>
    </row>
    <row r="23" ht="20.05" customHeight="1">
      <c r="B23" s="26"/>
      <c r="C23" s="16">
        <v>25</v>
      </c>
      <c r="D23" s="17">
        <v>772</v>
      </c>
      <c r="E23" s="17">
        <f>D23-C23</f>
        <v>747</v>
      </c>
      <c r="F23" s="17">
        <f>54+95+6+1</f>
        <v>156</v>
      </c>
      <c r="G23" s="17">
        <v>481</v>
      </c>
      <c r="H23" s="34">
        <v>291</v>
      </c>
      <c r="I23" s="17">
        <f>G23+H23-C23-E23</f>
        <v>0</v>
      </c>
      <c r="J23" s="17">
        <f>C23-G23</f>
        <v>-456</v>
      </c>
      <c r="K23" s="17"/>
    </row>
    <row r="24" ht="20.05" customHeight="1">
      <c r="B24" s="29">
        <v>2021</v>
      </c>
      <c r="C24" s="16">
        <v>37</v>
      </c>
      <c r="D24" s="17">
        <v>796</v>
      </c>
      <c r="E24" s="17">
        <f>D24-C24</f>
        <v>759</v>
      </c>
      <c r="F24" s="17">
        <f>6+1+54+97</f>
        <v>158</v>
      </c>
      <c r="G24" s="17">
        <v>498</v>
      </c>
      <c r="H24" s="34">
        <v>298</v>
      </c>
      <c r="I24" s="17">
        <f>G24+H24-C24-E24</f>
        <v>0</v>
      </c>
      <c r="J24" s="17">
        <f>C24-G24</f>
        <v>-461</v>
      </c>
      <c r="K24" s="17"/>
    </row>
    <row r="25" ht="20.05" customHeight="1">
      <c r="B25" s="26"/>
      <c r="C25" s="16">
        <v>19</v>
      </c>
      <c r="D25" s="17">
        <v>812</v>
      </c>
      <c r="E25" s="17">
        <f>D25-C25</f>
        <v>793</v>
      </c>
      <c r="F25" s="17">
        <f>55+100+1+7</f>
        <v>163</v>
      </c>
      <c r="G25" s="17">
        <v>508</v>
      </c>
      <c r="H25" s="34">
        <v>304</v>
      </c>
      <c r="I25" s="17">
        <f>G25+H25-C25-E25</f>
        <v>0</v>
      </c>
      <c r="J25" s="17">
        <f>C25-G25</f>
        <v>-489</v>
      </c>
      <c r="K25" s="17"/>
    </row>
    <row r="26" ht="20.05" customHeight="1">
      <c r="B26" s="26"/>
      <c r="C26" s="16">
        <v>62</v>
      </c>
      <c r="D26" s="17">
        <v>796</v>
      </c>
      <c r="E26" s="17">
        <f>D26-C26</f>
        <v>734</v>
      </c>
      <c r="F26" s="17">
        <f>57+1+7+103</f>
        <v>168</v>
      </c>
      <c r="G26" s="17">
        <v>475</v>
      </c>
      <c r="H26" s="34">
        <v>321</v>
      </c>
      <c r="I26" s="17">
        <f>G26+H26-C26-E26</f>
        <v>0</v>
      </c>
      <c r="J26" s="17">
        <f>C26-G26</f>
        <v>-413</v>
      </c>
      <c r="K26" s="17">
        <f>J26</f>
        <v>-413</v>
      </c>
    </row>
    <row r="27" ht="20.05" customHeight="1">
      <c r="B27" s="26"/>
      <c r="C27" s="16"/>
      <c r="D27" s="17"/>
      <c r="E27" s="17"/>
      <c r="F27" s="17"/>
      <c r="G27" s="17"/>
      <c r="H27" s="34"/>
      <c r="I27" s="17"/>
      <c r="J27" s="17"/>
      <c r="K27" s="17">
        <f>'Model'!F30</f>
        <v>-348.759662220982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6" customWidth="1"/>
    <col min="2" max="4" width="9.9375" style="36" customWidth="1"/>
    <col min="5" max="16384" width="16.3516" style="36" customWidth="1"/>
  </cols>
  <sheetData>
    <row r="1" ht="30.75" customHeight="1"/>
    <row r="2" ht="27.65" customHeight="1">
      <c r="B2" t="s" s="2">
        <v>54</v>
      </c>
      <c r="C2" s="2"/>
      <c r="D2" s="2"/>
    </row>
    <row r="3" ht="20.25" customHeight="1">
      <c r="B3" s="6"/>
      <c r="C3" t="s" s="37">
        <v>55</v>
      </c>
      <c r="D3" t="s" s="37">
        <v>37</v>
      </c>
    </row>
    <row r="4" ht="20.25" customHeight="1">
      <c r="B4" s="22">
        <v>2016</v>
      </c>
      <c r="C4" s="38">
        <v>131</v>
      </c>
      <c r="D4" s="39"/>
    </row>
    <row r="5" ht="20.05" customHeight="1">
      <c r="B5" s="26"/>
      <c r="C5" s="40">
        <v>113</v>
      </c>
      <c r="D5" s="41"/>
    </row>
    <row r="6" ht="20.05" customHeight="1">
      <c r="B6" s="26"/>
      <c r="C6" s="40">
        <v>125</v>
      </c>
      <c r="D6" s="41"/>
    </row>
    <row r="7" ht="20.05" customHeight="1">
      <c r="B7" s="26"/>
      <c r="C7" s="40">
        <v>150</v>
      </c>
      <c r="D7" s="41"/>
    </row>
    <row r="8" ht="20.05" customHeight="1">
      <c r="B8" s="26"/>
      <c r="C8" s="40">
        <v>160</v>
      </c>
      <c r="D8" s="41"/>
    </row>
    <row r="9" ht="20.05" customHeight="1">
      <c r="B9" s="26"/>
      <c r="C9" s="40">
        <v>180</v>
      </c>
      <c r="D9" s="41"/>
    </row>
    <row r="10" ht="20.05" customHeight="1">
      <c r="B10" s="26"/>
      <c r="C10" s="40">
        <v>178</v>
      </c>
      <c r="D10" s="41"/>
    </row>
    <row r="11" ht="20.05" customHeight="1">
      <c r="B11" s="26"/>
      <c r="C11" s="40">
        <v>175</v>
      </c>
      <c r="D11" s="41"/>
    </row>
    <row r="12" ht="20.05" customHeight="1">
      <c r="B12" s="26"/>
      <c r="C12" s="40">
        <v>171</v>
      </c>
      <c r="D12" s="41"/>
    </row>
    <row r="13" ht="20.05" customHeight="1">
      <c r="B13" s="26"/>
      <c r="C13" s="40">
        <v>213</v>
      </c>
      <c r="D13" s="41"/>
    </row>
    <row r="14" ht="20.05" customHeight="1">
      <c r="B14" s="26"/>
      <c r="C14" s="40">
        <v>250</v>
      </c>
      <c r="D14" s="41"/>
    </row>
    <row r="15" ht="20.05" customHeight="1">
      <c r="B15" s="26"/>
      <c r="C15" s="40">
        <v>311</v>
      </c>
      <c r="D15" s="41"/>
    </row>
    <row r="16" ht="20.05" customHeight="1">
      <c r="B16" s="29">
        <v>2017</v>
      </c>
      <c r="C16" s="40">
        <v>319</v>
      </c>
      <c r="D16" s="41"/>
    </row>
    <row r="17" ht="20.05" customHeight="1">
      <c r="B17" s="26"/>
      <c r="C17" s="40">
        <v>335</v>
      </c>
      <c r="D17" s="41"/>
    </row>
    <row r="18" ht="20.05" customHeight="1">
      <c r="B18" s="26"/>
      <c r="C18" s="40">
        <v>325</v>
      </c>
      <c r="D18" s="41"/>
    </row>
    <row r="19" ht="20.05" customHeight="1">
      <c r="B19" s="26"/>
      <c r="C19" s="40">
        <v>368</v>
      </c>
      <c r="D19" s="41"/>
    </row>
    <row r="20" ht="20.05" customHeight="1">
      <c r="B20" s="26"/>
      <c r="C20" s="40">
        <v>385</v>
      </c>
      <c r="D20" s="41"/>
    </row>
    <row r="21" ht="20.05" customHeight="1">
      <c r="B21" s="26"/>
      <c r="C21" s="40">
        <v>388</v>
      </c>
      <c r="D21" s="41"/>
    </row>
    <row r="22" ht="20.05" customHeight="1">
      <c r="B22" s="26"/>
      <c r="C22" s="40">
        <v>400</v>
      </c>
      <c r="D22" s="41"/>
    </row>
    <row r="23" ht="20.05" customHeight="1">
      <c r="B23" s="26"/>
      <c r="C23" s="40">
        <v>418</v>
      </c>
      <c r="D23" s="41"/>
    </row>
    <row r="24" ht="20.05" customHeight="1">
      <c r="B24" s="26"/>
      <c r="C24" s="40">
        <v>468</v>
      </c>
      <c r="D24" s="41"/>
    </row>
    <row r="25" ht="20.05" customHeight="1">
      <c r="B25" s="26"/>
      <c r="C25" s="40">
        <v>474</v>
      </c>
      <c r="D25" s="41"/>
    </row>
    <row r="26" ht="20.05" customHeight="1">
      <c r="B26" s="26"/>
      <c r="C26" s="40">
        <v>493</v>
      </c>
      <c r="D26" s="41"/>
    </row>
    <row r="27" ht="20.05" customHeight="1">
      <c r="B27" s="26"/>
      <c r="C27" s="40">
        <v>518</v>
      </c>
      <c r="D27" s="41"/>
    </row>
    <row r="28" ht="20.05" customHeight="1">
      <c r="B28" s="29">
        <v>2018</v>
      </c>
      <c r="C28" s="40">
        <v>650</v>
      </c>
      <c r="D28" s="41"/>
    </row>
    <row r="29" ht="20.05" customHeight="1">
      <c r="B29" s="26"/>
      <c r="C29" s="40">
        <v>660</v>
      </c>
      <c r="D29" s="41"/>
    </row>
    <row r="30" ht="20.05" customHeight="1">
      <c r="B30" s="26"/>
      <c r="C30" s="40">
        <v>670</v>
      </c>
      <c r="D30" s="41"/>
    </row>
    <row r="31" ht="20.05" customHeight="1">
      <c r="B31" s="26"/>
      <c r="C31" s="40">
        <v>613</v>
      </c>
      <c r="D31" s="41"/>
    </row>
    <row r="32" ht="20.05" customHeight="1">
      <c r="B32" s="26"/>
      <c r="C32" s="40">
        <v>558</v>
      </c>
      <c r="D32" s="41"/>
    </row>
    <row r="33" ht="20.05" customHeight="1">
      <c r="B33" s="26"/>
      <c r="C33" s="40">
        <v>525</v>
      </c>
      <c r="D33" s="41"/>
    </row>
    <row r="34" ht="20.05" customHeight="1">
      <c r="B34" s="26"/>
      <c r="C34" s="40">
        <v>475</v>
      </c>
      <c r="D34" s="41"/>
    </row>
    <row r="35" ht="20.05" customHeight="1">
      <c r="B35" s="26"/>
      <c r="C35" s="40">
        <v>430</v>
      </c>
      <c r="D35" s="41"/>
    </row>
    <row r="36" ht="20.05" customHeight="1">
      <c r="B36" s="26"/>
      <c r="C36" s="40">
        <v>445</v>
      </c>
      <c r="D36" s="41"/>
    </row>
    <row r="37" ht="20.05" customHeight="1">
      <c r="B37" s="26"/>
      <c r="C37" s="40">
        <v>433</v>
      </c>
      <c r="D37" s="41"/>
    </row>
    <row r="38" ht="20.05" customHeight="1">
      <c r="B38" s="26"/>
      <c r="C38" s="40">
        <v>398</v>
      </c>
      <c r="D38" s="41"/>
    </row>
    <row r="39" ht="20.05" customHeight="1">
      <c r="B39" s="26"/>
      <c r="C39" s="40">
        <v>405</v>
      </c>
      <c r="D39" s="41"/>
    </row>
    <row r="40" ht="20.05" customHeight="1">
      <c r="B40" s="29">
        <v>2019</v>
      </c>
      <c r="C40" s="40">
        <v>406</v>
      </c>
      <c r="D40" s="41"/>
    </row>
    <row r="41" ht="20.05" customHeight="1">
      <c r="B41" s="26"/>
      <c r="C41" s="40">
        <v>430</v>
      </c>
      <c r="D41" s="41"/>
    </row>
    <row r="42" ht="20.05" customHeight="1">
      <c r="B42" s="26"/>
      <c r="C42" s="40">
        <v>413</v>
      </c>
      <c r="D42" s="41"/>
    </row>
    <row r="43" ht="20.05" customHeight="1">
      <c r="B43" s="26"/>
      <c r="C43" s="40">
        <v>398</v>
      </c>
      <c r="D43" s="41"/>
    </row>
    <row r="44" ht="20.05" customHeight="1">
      <c r="B44" s="26"/>
      <c r="C44" s="40">
        <v>430</v>
      </c>
      <c r="D44" s="41"/>
    </row>
    <row r="45" ht="20.05" customHeight="1">
      <c r="B45" s="26"/>
      <c r="C45" s="40">
        <v>460</v>
      </c>
      <c r="D45" s="41"/>
    </row>
    <row r="46" ht="20.05" customHeight="1">
      <c r="B46" s="26"/>
      <c r="C46" s="40">
        <v>348</v>
      </c>
      <c r="D46" s="41"/>
    </row>
    <row r="47" ht="20.05" customHeight="1">
      <c r="B47" s="26"/>
      <c r="C47" s="40">
        <v>368</v>
      </c>
      <c r="D47" s="41"/>
    </row>
    <row r="48" ht="20.05" customHeight="1">
      <c r="B48" s="26"/>
      <c r="C48" s="40">
        <v>372</v>
      </c>
      <c r="D48" s="41"/>
    </row>
    <row r="49" ht="20.05" customHeight="1">
      <c r="B49" s="26"/>
      <c r="C49" s="40">
        <v>362</v>
      </c>
      <c r="D49" s="41"/>
    </row>
    <row r="50" ht="20.05" customHeight="1">
      <c r="B50" s="26"/>
      <c r="C50" s="40">
        <v>350</v>
      </c>
      <c r="D50" s="41"/>
    </row>
    <row r="51" ht="20.05" customHeight="1">
      <c r="B51" s="26"/>
      <c r="C51" s="40">
        <v>358</v>
      </c>
      <c r="D51" s="41"/>
    </row>
    <row r="52" ht="20.05" customHeight="1">
      <c r="B52" s="29">
        <v>2020</v>
      </c>
      <c r="C52" s="40">
        <v>350</v>
      </c>
      <c r="D52" s="41"/>
    </row>
    <row r="53" ht="20.05" customHeight="1">
      <c r="B53" s="26"/>
      <c r="C53" s="40">
        <v>370</v>
      </c>
      <c r="D53" s="41"/>
    </row>
    <row r="54" ht="20.05" customHeight="1">
      <c r="B54" s="26"/>
      <c r="C54" s="40">
        <v>370</v>
      </c>
      <c r="D54" s="41"/>
    </row>
    <row r="55" ht="20.05" customHeight="1">
      <c r="B55" s="26"/>
      <c r="C55" s="40">
        <v>330</v>
      </c>
      <c r="D55" s="41"/>
    </row>
    <row r="56" ht="20.05" customHeight="1">
      <c r="B56" s="26"/>
      <c r="C56" s="40">
        <v>336</v>
      </c>
      <c r="D56" s="41"/>
    </row>
    <row r="57" ht="20.05" customHeight="1">
      <c r="B57" s="26"/>
      <c r="C57" s="40">
        <v>354</v>
      </c>
      <c r="D57" s="41"/>
    </row>
    <row r="58" ht="20.05" customHeight="1">
      <c r="B58" s="26"/>
      <c r="C58" s="40">
        <v>346</v>
      </c>
      <c r="D58" s="41"/>
    </row>
    <row r="59" ht="20.05" customHeight="1">
      <c r="B59" s="26"/>
      <c r="C59" s="40">
        <v>438</v>
      </c>
      <c r="D59" s="41"/>
    </row>
    <row r="60" ht="20.05" customHeight="1">
      <c r="B60" s="26"/>
      <c r="C60" s="40">
        <v>390</v>
      </c>
      <c r="D60" s="41"/>
    </row>
    <row r="61" ht="20.05" customHeight="1">
      <c r="B61" s="26"/>
      <c r="C61" s="40">
        <v>386</v>
      </c>
      <c r="D61" s="41"/>
    </row>
    <row r="62" ht="20.05" customHeight="1">
      <c r="B62" s="26"/>
      <c r="C62" s="40">
        <v>494</v>
      </c>
      <c r="D62" s="41"/>
    </row>
    <row r="63" ht="20.05" customHeight="1">
      <c r="B63" s="26"/>
      <c r="C63" s="40">
        <v>520</v>
      </c>
      <c r="D63" s="41"/>
    </row>
    <row r="64" ht="20.05" customHeight="1">
      <c r="B64" s="29">
        <v>2021</v>
      </c>
      <c r="C64" s="16">
        <v>490</v>
      </c>
      <c r="D64" s="41"/>
    </row>
    <row r="65" ht="20.05" customHeight="1">
      <c r="B65" s="26"/>
      <c r="C65" s="16">
        <v>555</v>
      </c>
      <c r="D65" s="41"/>
    </row>
    <row r="66" ht="20.05" customHeight="1">
      <c r="B66" s="26"/>
      <c r="C66" s="16">
        <v>494</v>
      </c>
      <c r="D66" s="41"/>
    </row>
    <row r="67" ht="20.05" customHeight="1">
      <c r="B67" s="26"/>
      <c r="C67" s="16">
        <v>496</v>
      </c>
      <c r="D67" s="41"/>
    </row>
    <row r="68" ht="20.05" customHeight="1">
      <c r="B68" s="26"/>
      <c r="C68" s="16">
        <v>492</v>
      </c>
      <c r="D68" s="41"/>
    </row>
    <row r="69" ht="20.05" customHeight="1">
      <c r="B69" s="26"/>
      <c r="C69" s="16">
        <v>492</v>
      </c>
      <c r="D69" s="41"/>
    </row>
    <row r="70" ht="20.05" customHeight="1">
      <c r="B70" s="26"/>
      <c r="C70" s="16">
        <v>490</v>
      </c>
      <c r="D70" s="41"/>
    </row>
    <row r="71" ht="20.05" customHeight="1">
      <c r="B71" s="26"/>
      <c r="C71" s="16">
        <v>480</v>
      </c>
      <c r="D71" s="41"/>
    </row>
    <row r="72" ht="20.05" customHeight="1">
      <c r="B72" s="26"/>
      <c r="C72" s="16">
        <v>555</v>
      </c>
      <c r="D72" s="41"/>
    </row>
    <row r="73" ht="20.05" customHeight="1">
      <c r="B73" s="26"/>
      <c r="C73" s="16">
        <v>530</v>
      </c>
      <c r="D73" s="42"/>
    </row>
    <row r="74" ht="20.05" customHeight="1">
      <c r="B74" s="26"/>
      <c r="C74" s="16">
        <v>550</v>
      </c>
      <c r="D74" s="43">
        <f>C74</f>
        <v>550</v>
      </c>
    </row>
    <row r="75" ht="20.05" customHeight="1">
      <c r="B75" s="26"/>
      <c r="C75" s="16"/>
      <c r="D75" s="43">
        <f>'Model'!F43</f>
        <v>670.409669164360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