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 " sheetId="4" r:id="rId7"/>
    <sheet name="Share price" sheetId="5" r:id="rId8"/>
  </sheets>
</workbook>
</file>

<file path=xl/sharedStrings.xml><?xml version="1.0" encoding="utf-8"?>
<sst xmlns="http://schemas.openxmlformats.org/spreadsheetml/2006/main" uniqueCount="62">
  <si>
    <t>Financial model</t>
  </si>
  <si>
    <t>Rpbn</t>
  </si>
  <si>
    <t>4Q 2021</t>
  </si>
  <si>
    <t xml:space="preserve">Cashflow </t>
  </si>
  <si>
    <t>Growth</t>
  </si>
  <si>
    <t>Sales</t>
  </si>
  <si>
    <t xml:space="preserve">Cost ratio </t>
  </si>
  <si>
    <t>Cash costs</t>
  </si>
  <si>
    <t xml:space="preserve">Non cash costs </t>
  </si>
  <si>
    <t xml:space="preserve">Net profit </t>
  </si>
  <si>
    <t xml:space="preserve">Operating </t>
  </si>
  <si>
    <t xml:space="preserve">Investment </t>
  </si>
  <si>
    <t>Leases</t>
  </si>
  <si>
    <t>Free cashflow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</si>
  <si>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</si>
  <si>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</si>
  <si>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</si>
  <si>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</si>
  <si>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Finance </t>
  </si>
  <si>
    <t>Beginning</t>
  </si>
  <si>
    <t xml:space="preserve">Change </t>
  </si>
  <si>
    <t xml:space="preserve">Ending  </t>
  </si>
  <si>
    <t xml:space="preserve">Balance Sheet </t>
  </si>
  <si>
    <t xml:space="preserve">Other assets </t>
  </si>
  <si>
    <t xml:space="preserve">Depreciation </t>
  </si>
  <si>
    <t xml:space="preserve">Net other assets </t>
  </si>
  <si>
    <t>Check</t>
  </si>
  <si>
    <t xml:space="preserve"> Net cash </t>
  </si>
  <si>
    <t xml:space="preserve">Valuation </t>
  </si>
  <si>
    <t xml:space="preserve">Capital </t>
  </si>
  <si>
    <t xml:space="preserve">Current value </t>
  </si>
  <si>
    <t>P/assetd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</si>
  <si>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</si>
  <si>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</si>
  <si>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</si>
  <si>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</si>
  <si>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</si>
  <si>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</si>
  <si>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</si>
  <si>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</si>
  <si>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>V target</t>
  </si>
  <si>
    <t xml:space="preserve">12 month growth </t>
  </si>
  <si>
    <t xml:space="preserve">Sales v forecast </t>
  </si>
  <si>
    <t xml:space="preserve">Profit </t>
  </si>
  <si>
    <t>Sales growth</t>
  </si>
  <si>
    <t xml:space="preserve">Cashflow costs </t>
  </si>
  <si>
    <t xml:space="preserve">Receipts </t>
  </si>
  <si>
    <t>Interest</t>
  </si>
  <si>
    <t>Receivables</t>
  </si>
  <si>
    <t>Currency swaps</t>
  </si>
  <si>
    <t>Finance</t>
  </si>
  <si>
    <t xml:space="preserve">Free cashflow </t>
  </si>
  <si>
    <t>Capital</t>
  </si>
  <si>
    <t>Balance sheet</t>
  </si>
  <si>
    <t xml:space="preserve">  Cash</t>
  </si>
  <si>
    <t>Assets</t>
  </si>
  <si>
    <t>Net cash</t>
  </si>
  <si>
    <t>Share price</t>
  </si>
  <si>
    <t>Date</t>
  </si>
  <si>
    <t>TBIG</t>
  </si>
  <si>
    <t>Target</t>
  </si>
  <si>
    <t>PE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</si>
</sst>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#,##0.0"/>
    <numFmt numFmtId="61" formatCode="#,##0%_);[Red]\(#,##0%\)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center" wrapText="1"/>
    </xf>
    <xf numFmtId="49" fontId="2" fillId="2" borderId="1" applyNumberFormat="1" applyFont="1" applyFill="1" applyBorder="1" applyAlignment="1" applyProtection="0">
      <alignment horizontal="right" vertical="center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horizontal="left" vertical="center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horizontal="left" vertical="center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horizontal="right" vertical="center"/>
    </xf>
    <xf numFmtId="3" fontId="0" borderId="7" applyNumberFormat="1" applyFont="1" applyFill="0" applyBorder="1" applyAlignment="1" applyProtection="0">
      <alignment horizontal="right" vertical="center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horizontal="left" vertical="center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49" fontId="2" fillId="2" borderId="1" applyNumberFormat="1" applyFont="1" applyFill="1" applyBorder="1" applyAlignment="1" applyProtection="0">
      <alignment horizontal="right" vertical="top"/>
    </xf>
    <xf numFmtId="3" fontId="2" fillId="2" borderId="1" applyNumberFormat="1" applyFont="1" applyFill="1" applyBorder="1" applyAlignment="1" applyProtection="0">
      <alignment horizontal="right" vertical="top"/>
    </xf>
    <xf numFmtId="0" fontId="2" fillId="4" borderId="2" applyNumberFormat="1" applyFont="1" applyFill="1" applyBorder="1" applyAlignment="1" applyProtection="0">
      <alignment vertical="top"/>
    </xf>
    <xf numFmtId="3" fontId="3" fillId="5" borderId="3" applyNumberFormat="1" applyFont="1" applyFill="1" applyBorder="1" applyAlignment="1" applyProtection="0">
      <alignment horizontal="right" vertical="center" wrapText="1" readingOrder="1"/>
    </xf>
    <xf numFmtId="0" fontId="3" fillId="5" borderId="4" applyNumberFormat="0" applyFont="1" applyFill="1" applyBorder="1" applyAlignment="1" applyProtection="0">
      <alignment horizontal="right" vertical="center" wrapText="1" readingOrder="1"/>
    </xf>
    <xf numFmtId="3" fontId="3" fillId="5" borderId="4" applyNumberFormat="1" applyFont="1" applyFill="1" applyBorder="1" applyAlignment="1" applyProtection="0">
      <alignment horizontal="right" vertical="center" wrapText="1" readingOrder="1"/>
    </xf>
    <xf numFmtId="0" fontId="2" fillId="4" borderId="5" applyNumberFormat="0" applyFont="1" applyFill="1" applyBorder="1" applyAlignment="1" applyProtection="0">
      <alignment vertical="top"/>
    </xf>
    <xf numFmtId="3" fontId="3" fillId="5" borderId="6" applyNumberFormat="1" applyFont="1" applyFill="1" applyBorder="1" applyAlignment="1" applyProtection="0">
      <alignment horizontal="right" vertical="center" wrapText="1" readingOrder="1"/>
    </xf>
    <xf numFmtId="0" fontId="3" fillId="5" borderId="7" applyNumberFormat="0" applyFont="1" applyFill="1" applyBorder="1" applyAlignment="1" applyProtection="0">
      <alignment horizontal="right" vertical="center" wrapText="1" readingOrder="1"/>
    </xf>
    <xf numFmtId="3" fontId="3" fillId="5" borderId="7" applyNumberFormat="1" applyFont="1" applyFill="1" applyBorder="1" applyAlignment="1" applyProtection="0">
      <alignment horizontal="right" vertical="center" wrapText="1" readingOrder="1"/>
    </xf>
    <xf numFmtId="0" fontId="2" fillId="4" borderId="5" applyNumberFormat="1" applyFont="1" applyFill="1" applyBorder="1" applyAlignment="1" applyProtection="0">
      <alignment vertical="top"/>
    </xf>
    <xf numFmtId="38" fontId="3" fillId="5" borderId="7" applyNumberFormat="1" applyFont="1" applyFill="1" applyBorder="1" applyAlignment="1" applyProtection="0">
      <alignment horizontal="right" vertical="center" wrapText="1" readingOrder="1"/>
    </xf>
    <xf numFmtId="0" fontId="3" fillId="5" borderId="6" applyNumberFormat="1" applyFont="1" applyFill="1" applyBorder="1" applyAlignment="1" applyProtection="0">
      <alignment horizontal="right" vertical="center" wrapText="1" readingOrder="1"/>
    </xf>
    <xf numFmtId="0" fontId="0" borderId="7" applyNumberFormat="0" applyFont="1" applyFill="0" applyBorder="1" applyAlignment="1" applyProtection="0">
      <alignment vertical="top"/>
    </xf>
    <xf numFmtId="3" fontId="0" borderId="6" applyNumberFormat="1" applyFont="1" applyFill="0" applyBorder="1" applyAlignment="1" applyProtection="0">
      <alignment vertical="top"/>
    </xf>
    <xf numFmtId="3" fontId="0" borderId="7" applyNumberFormat="1" applyFont="1" applyFill="0" applyBorder="1" applyAlignment="1" applyProtection="0">
      <alignment vertical="top"/>
    </xf>
    <xf numFmtId="0" fontId="3" fillId="5" borderId="7" applyNumberFormat="1" applyFont="1" applyFill="1" applyBorder="1" applyAlignment="1" applyProtection="0">
      <alignment horizontal="right" vertical="center" wrapText="1" readingOrder="1"/>
    </xf>
    <xf numFmtId="0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600752</xdr:colOff>
      <xdr:row>1</xdr:row>
      <xdr:rowOff>304757</xdr:rowOff>
    </xdr:from>
    <xdr:to>
      <xdr:col>13</xdr:col>
      <xdr:colOff>419044</xdr:colOff>
      <xdr:row>47</xdr:row>
      <xdr:rowOff>153105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325152" y="1055327"/>
          <a:ext cx="8530493" cy="1166315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2.125" style="1" customWidth="1"/>
    <col min="2" max="2" width="16.4375" style="1" customWidth="1"/>
    <col min="3" max="6" width="8.40625" style="1" customWidth="1"/>
    <col min="7" max="16384" width="16.3516" style="1" customWidth="1"/>
  </cols>
  <sheetData>
    <row r="1" ht="59.1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6"/>
    </row>
    <row r="4" ht="20.25" customHeight="1">
      <c r="B4" t="s" s="7">
        <v>3</v>
      </c>
      <c r="C4" s="8">
        <f>AVERAGE('Sales'!H26:H29)</f>
        <v>0.0402974942739793</v>
      </c>
      <c r="D4" s="9"/>
      <c r="E4" s="9"/>
      <c r="F4" s="10">
        <f>AVERAGE(C5:F5)</f>
        <v>0.0275</v>
      </c>
    </row>
    <row r="5" ht="20.05" customHeight="1">
      <c r="B5" t="s" s="11">
        <v>4</v>
      </c>
      <c r="C5" s="12">
        <v>0.03</v>
      </c>
      <c r="D5" s="13">
        <v>0</v>
      </c>
      <c r="E5" s="13">
        <v>0.04</v>
      </c>
      <c r="F5" s="13">
        <v>0.04</v>
      </c>
    </row>
    <row r="6" ht="20.05" customHeight="1">
      <c r="B6" t="s" s="11">
        <v>5</v>
      </c>
      <c r="C6" s="14">
        <f>'Sales'!C29*(1+C5)</f>
        <v>1638.215</v>
      </c>
      <c r="D6" s="15">
        <f>C6*(1+D5)</f>
        <v>1638.215</v>
      </c>
      <c r="E6" s="15">
        <f>D6*(1+E5)</f>
        <v>1703.7436</v>
      </c>
      <c r="F6" s="15">
        <f>E6*(1+F5)</f>
        <v>1771.893344</v>
      </c>
    </row>
    <row r="7" ht="20.05" customHeight="1">
      <c r="B7" t="s" s="11">
        <v>6</v>
      </c>
      <c r="C7" s="16">
        <f>AVERAGE('Sales'!K28)</f>
        <v>-0.669076617011985</v>
      </c>
      <c r="D7" s="17">
        <f>C7</f>
        <v>-0.669076617011985</v>
      </c>
      <c r="E7" s="17">
        <f>D7</f>
        <v>-0.669076617011985</v>
      </c>
      <c r="F7" s="17">
        <f>E7</f>
        <v>-0.669076617011985</v>
      </c>
    </row>
    <row r="8" ht="20.05" customHeight="1">
      <c r="B8" t="s" s="11">
        <v>7</v>
      </c>
      <c r="C8" s="14">
        <f>C6*C7</f>
        <v>-1096.091350138290</v>
      </c>
      <c r="D8" s="15">
        <f>D6*D7</f>
        <v>-1096.091350138290</v>
      </c>
      <c r="E8" s="15">
        <f>E6*E7</f>
        <v>-1139.935004143820</v>
      </c>
      <c r="F8" s="15">
        <f>F6*F7</f>
        <v>-1185.532404309570</v>
      </c>
    </row>
    <row r="9" ht="20.05" customHeight="1">
      <c r="B9" t="s" s="11">
        <v>8</v>
      </c>
      <c r="C9" s="14">
        <f>-AVERAGE('Sales'!E29)</f>
        <v>-335.9</v>
      </c>
      <c r="D9" s="15">
        <f>C9</f>
        <v>-335.9</v>
      </c>
      <c r="E9" s="15">
        <f>D9</f>
        <v>-335.9</v>
      </c>
      <c r="F9" s="15">
        <f>E9</f>
        <v>-335.9</v>
      </c>
    </row>
    <row r="10" ht="20.05" customHeight="1">
      <c r="B10" t="s" s="11">
        <v>9</v>
      </c>
      <c r="C10" s="18">
        <f>C6+C8+C9</f>
        <v>206.223649861710</v>
      </c>
      <c r="D10" s="19">
        <f>D6+D8+D9</f>
        <v>206.223649861710</v>
      </c>
      <c r="E10" s="19">
        <f>E6+E8+E9</f>
        <v>227.908595856180</v>
      </c>
      <c r="F10" s="19">
        <f>F6+F8+F9</f>
        <v>250.460939690430</v>
      </c>
    </row>
    <row r="11" ht="20.05" customHeight="1">
      <c r="B11" t="s" s="11">
        <v>10</v>
      </c>
      <c r="C11" s="14">
        <f>C6+C8</f>
        <v>542.123649861710</v>
      </c>
      <c r="D11" s="15">
        <f>D6+D8</f>
        <v>542.123649861710</v>
      </c>
      <c r="E11" s="15">
        <f>E6+E8</f>
        <v>563.808595856180</v>
      </c>
      <c r="F11" s="15">
        <f>F6+F8</f>
        <v>586.360939690430</v>
      </c>
    </row>
    <row r="12" ht="20.05" customHeight="1">
      <c r="B12" t="s" s="11">
        <v>11</v>
      </c>
      <c r="C12" s="18">
        <f>AVERAGE('Cashflow '!F25)</f>
        <v>-462.6</v>
      </c>
      <c r="D12" s="19">
        <f>C12</f>
        <v>-462.6</v>
      </c>
      <c r="E12" s="19">
        <f>D12</f>
        <v>-462.6</v>
      </c>
      <c r="F12" s="19">
        <f>E12</f>
        <v>-462.6</v>
      </c>
    </row>
    <row r="13" ht="20.05" customHeight="1">
      <c r="B13" t="s" s="11">
        <v>12</v>
      </c>
      <c r="C13" s="14">
        <f>AVERAGE('Cashflow '!G27:G29)</f>
        <v>-14.5</v>
      </c>
      <c r="D13" s="15">
        <f>C13</f>
        <v>-14.5</v>
      </c>
      <c r="E13" s="15">
        <f>D13</f>
        <v>-14.5</v>
      </c>
      <c r="F13" s="15">
        <f>E13</f>
        <v>-14.5</v>
      </c>
    </row>
    <row r="14" ht="20.05" customHeight="1">
      <c r="B14" t="s" s="11">
        <v>13</v>
      </c>
      <c r="C14" s="14">
        <f>SUM(C11:C13)</f>
        <v>65.023649861710</v>
      </c>
      <c r="D14" s="15">
        <f>SUM(D11:D13)</f>
        <v>65.023649861710</v>
      </c>
      <c r="E14" s="15">
        <f>SUM(E11:E13)</f>
        <v>86.708595856180</v>
      </c>
      <c r="F14" s="15">
        <f>SUM(F11:F13)</f>
        <v>109.260939690430</v>
      </c>
    </row>
    <row r="15" ht="20.05" customHeight="1">
      <c r="B15" t="s" s="11">
        <v>14</v>
      </c>
      <c r="C15" s="14">
        <f>-('Balance Sheet '!G27)/20</f>
        <v>-1599.15</v>
      </c>
      <c r="D15" s="15">
        <f>-C27/20</f>
        <v>-1519.1925</v>
      </c>
      <c r="E15" s="15">
        <f>-D27/20</f>
        <v>-1443.232875</v>
      </c>
      <c r="F15" s="15">
        <f>-E27/20</f>
        <v>-1371.07123125</v>
      </c>
    </row>
    <row r="16" ht="20.05" customHeight="1">
      <c r="B16" t="s" s="11">
        <v>15</v>
      </c>
      <c r="C16" s="18">
        <f>IF(C10&gt;0,-C10*0.3,0)</f>
        <v>-61.867094958513</v>
      </c>
      <c r="D16" s="19">
        <f>IF(D10&gt;0,-D10*0.3,0)</f>
        <v>-61.867094958513</v>
      </c>
      <c r="E16" s="19">
        <f>IF(E10&gt;0,-E10*0.3,0)</f>
        <v>-68.372578756854</v>
      </c>
      <c r="F16" s="19">
        <f>IF(F10&gt;0,-F10*0.3,0)</f>
        <v>-75.138281907129</v>
      </c>
    </row>
    <row r="17" ht="20.05" customHeight="1">
      <c r="B17" t="s" s="11">
        <v>16</v>
      </c>
      <c r="C17" s="14">
        <f>C11+C12+C15+C16</f>
        <v>-1581.4934450968</v>
      </c>
      <c r="D17" s="15">
        <f>D11+D12+D15+D16</f>
        <v>-1501.5359450968</v>
      </c>
      <c r="E17" s="15">
        <f>E11+E12+E15+E16</f>
        <v>-1410.396857900670</v>
      </c>
      <c r="F17" s="15">
        <f>F11+F12+F15+F16</f>
        <v>-1322.4485734667</v>
      </c>
    </row>
    <row r="18" ht="20.05" customHeight="1">
      <c r="B18" t="s" s="11">
        <v>17</v>
      </c>
      <c r="C18" s="14">
        <f>-MIN(0,C17)</f>
        <v>1581.4934450968</v>
      </c>
      <c r="D18" s="15">
        <f>-MIN(C28,D17)</f>
        <v>1501.5359450968</v>
      </c>
      <c r="E18" s="15">
        <f>-MIN(D28,E17)</f>
        <v>1410.396857900670</v>
      </c>
      <c r="F18" s="15">
        <f>-MIN(E28,F17)</f>
        <v>1322.4485734667</v>
      </c>
    </row>
    <row r="19" ht="20.05" customHeight="1">
      <c r="B19" t="s" s="11">
        <v>18</v>
      </c>
      <c r="C19" s="14">
        <f>C15+C16+C18</f>
        <v>-79.523649861713</v>
      </c>
      <c r="D19" s="15">
        <f>D15+D16+D18</f>
        <v>-79.523649861713</v>
      </c>
      <c r="E19" s="15">
        <f>E15+E16+E18</f>
        <v>-101.208595856184</v>
      </c>
      <c r="F19" s="15">
        <f>F15+F16+F18</f>
        <v>-123.760939690429</v>
      </c>
    </row>
    <row r="20" ht="20.05" customHeight="1">
      <c r="B20" t="s" s="11">
        <v>19</v>
      </c>
      <c r="C20" s="14">
        <f>'Balance Sheet '!C27</f>
        <v>842</v>
      </c>
      <c r="D20" s="15">
        <f>C22</f>
        <v>841.999999999997</v>
      </c>
      <c r="E20" s="15">
        <f>D22</f>
        <v>841.999999999994</v>
      </c>
      <c r="F20" s="15">
        <f>E22</f>
        <v>841.999999999990</v>
      </c>
    </row>
    <row r="21" ht="20.05" customHeight="1">
      <c r="B21" t="s" s="11">
        <v>20</v>
      </c>
      <c r="C21" s="14">
        <f>C11+C12+C19</f>
        <v>-3e-12</v>
      </c>
      <c r="D21" s="15">
        <f>D11+D12+D19</f>
        <v>-3e-12</v>
      </c>
      <c r="E21" s="15">
        <f>E11+E12+E19</f>
        <v>-4e-12</v>
      </c>
      <c r="F21" s="15">
        <f>F11+F12+F19</f>
        <v>1e-12</v>
      </c>
    </row>
    <row r="22" ht="20.05" customHeight="1">
      <c r="B22" t="s" s="11">
        <v>21</v>
      </c>
      <c r="C22" s="14">
        <f>C20+C21</f>
        <v>841.999999999997</v>
      </c>
      <c r="D22" s="15">
        <f>D20+D21</f>
        <v>841.999999999994</v>
      </c>
      <c r="E22" s="15">
        <f>E20+E21</f>
        <v>841.999999999990</v>
      </c>
      <c r="F22" s="15">
        <f>F20+F21</f>
        <v>841.999999999991</v>
      </c>
    </row>
    <row r="23" ht="20.05" customHeight="1">
      <c r="B23" t="s" s="20">
        <v>22</v>
      </c>
      <c r="C23" s="21"/>
      <c r="D23" s="22"/>
      <c r="E23" s="22"/>
      <c r="F23" s="19"/>
    </row>
    <row r="24" ht="20.05" customHeight="1">
      <c r="B24" t="s" s="11">
        <v>23</v>
      </c>
      <c r="C24" s="14">
        <f>'Balance Sheet '!E27+'Balance Sheet '!F27-C12</f>
        <v>43302.6</v>
      </c>
      <c r="D24" s="15">
        <f>C24-D12</f>
        <v>43765.2</v>
      </c>
      <c r="E24" s="15">
        <f>D24-E12</f>
        <v>44227.8</v>
      </c>
      <c r="F24" s="15">
        <f>E24-F12</f>
        <v>44690.4</v>
      </c>
    </row>
    <row r="25" ht="20.05" customHeight="1">
      <c r="B25" t="s" s="11">
        <v>24</v>
      </c>
      <c r="C25" s="14">
        <f>'Balance Sheet '!F27-C9</f>
        <v>2432.9</v>
      </c>
      <c r="D25" s="15">
        <f>C25-D9</f>
        <v>2768.8</v>
      </c>
      <c r="E25" s="15">
        <f>D25-E9</f>
        <v>3104.7</v>
      </c>
      <c r="F25" s="15">
        <f>E25-F9</f>
        <v>3440.6</v>
      </c>
    </row>
    <row r="26" ht="20.05" customHeight="1">
      <c r="B26" t="s" s="11">
        <v>25</v>
      </c>
      <c r="C26" s="14">
        <f>C24-C25</f>
        <v>40869.7</v>
      </c>
      <c r="D26" s="15">
        <f>D24-D25</f>
        <v>40996.4</v>
      </c>
      <c r="E26" s="15">
        <f>E24-E25</f>
        <v>41123.1</v>
      </c>
      <c r="F26" s="15">
        <f>F24-F25</f>
        <v>41249.8</v>
      </c>
    </row>
    <row r="27" ht="20.05" customHeight="1">
      <c r="B27" t="s" s="11">
        <v>14</v>
      </c>
      <c r="C27" s="14">
        <f>'Balance Sheet '!G27+C15</f>
        <v>30383.85</v>
      </c>
      <c r="D27" s="15">
        <f>C27+D15</f>
        <v>28864.6575</v>
      </c>
      <c r="E27" s="15">
        <f>D27+E15</f>
        <v>27421.424625</v>
      </c>
      <c r="F27" s="15">
        <f>E27+F15</f>
        <v>26050.35339375</v>
      </c>
    </row>
    <row r="28" ht="20.05" customHeight="1">
      <c r="B28" t="s" s="11">
        <v>17</v>
      </c>
      <c r="C28" s="14">
        <f>C18</f>
        <v>1581.4934450968</v>
      </c>
      <c r="D28" s="15">
        <f>C28+D18</f>
        <v>3083.0293901936</v>
      </c>
      <c r="E28" s="15">
        <f>D28+E18</f>
        <v>4493.426248094270</v>
      </c>
      <c r="F28" s="15">
        <f>E28+F18</f>
        <v>5815.874821560970</v>
      </c>
    </row>
    <row r="29" ht="20.05" customHeight="1">
      <c r="B29" t="s" s="11">
        <v>15</v>
      </c>
      <c r="C29" s="14">
        <f>'Balance Sheet '!H27+C10+C16</f>
        <v>9746.356554903199</v>
      </c>
      <c r="D29" s="15">
        <f>C29+D10+D16</f>
        <v>9890.7131098064</v>
      </c>
      <c r="E29" s="15">
        <f>D29+E10+E16</f>
        <v>10050.2491269057</v>
      </c>
      <c r="F29" s="15">
        <f>E29+F10+F16</f>
        <v>10225.571784689</v>
      </c>
    </row>
    <row r="30" ht="20.05" customHeight="1">
      <c r="B30" t="s" s="11">
        <v>26</v>
      </c>
      <c r="C30" s="18">
        <f>C27+C28+C29-C22-C26</f>
        <v>3e-12</v>
      </c>
      <c r="D30" s="19">
        <f>D27+D28+D29-D22-D26</f>
        <v>6e-12</v>
      </c>
      <c r="E30" s="19">
        <f>E27+E28+E29-E22-E26</f>
        <v>-2e-11</v>
      </c>
      <c r="F30" s="19">
        <f>F27+F28+F29-F22-F26</f>
        <v>-2.1e-11</v>
      </c>
    </row>
    <row r="31" ht="20.05" customHeight="1">
      <c r="B31" t="s" s="11">
        <v>27</v>
      </c>
      <c r="C31" s="18">
        <f>C22-C27-C28</f>
        <v>-31123.3434450968</v>
      </c>
      <c r="D31" s="19">
        <f>D22-D27-D28</f>
        <v>-31105.6868901936</v>
      </c>
      <c r="E31" s="19">
        <f>E22-E27-E28</f>
        <v>-31072.8508730943</v>
      </c>
      <c r="F31" s="19">
        <f>F22-F27-F28</f>
        <v>-31024.228215311</v>
      </c>
    </row>
    <row r="32" ht="20.05" customHeight="1">
      <c r="B32" t="s" s="20">
        <v>28</v>
      </c>
      <c r="C32" s="18"/>
      <c r="D32" s="19"/>
      <c r="E32" s="19"/>
      <c r="F32" s="19"/>
    </row>
    <row r="33" ht="20.05" customHeight="1">
      <c r="B33" t="s" s="11">
        <v>29</v>
      </c>
      <c r="C33" s="18">
        <f>'Cashflow '!P29-C19</f>
        <v>-13982.8763501383</v>
      </c>
      <c r="D33" s="19">
        <f>C33-D19</f>
        <v>-13903.3527002766</v>
      </c>
      <c r="E33" s="19">
        <f>D33-E19</f>
        <v>-13802.1441044204</v>
      </c>
      <c r="F33" s="19">
        <f>E33-F19</f>
        <v>-13678.38316473</v>
      </c>
    </row>
    <row r="34" ht="20.05" customHeight="1">
      <c r="B34" t="s" s="11">
        <v>30</v>
      </c>
      <c r="C34" s="18"/>
      <c r="D34" s="19"/>
      <c r="E34" s="19"/>
      <c r="F34" s="19">
        <v>67710</v>
      </c>
    </row>
    <row r="35" ht="20.05" customHeight="1">
      <c r="B35" t="s" s="11">
        <v>31</v>
      </c>
      <c r="C35" s="18"/>
      <c r="D35" s="19"/>
      <c r="E35" s="19"/>
      <c r="F35" s="23">
        <f>F34/(F22+F26)</f>
        <v>1.60862685843799</v>
      </c>
    </row>
    <row r="36" ht="20.05" customHeight="1">
      <c r="B36" t="s" s="11">
        <v>32</v>
      </c>
      <c r="C36" s="18"/>
      <c r="D36" s="19"/>
      <c r="E36" s="19"/>
      <c r="F36" s="17">
        <f>-(C16+D16+E16+F16)/F34</f>
        <v>0.00394690666933996</v>
      </c>
    </row>
    <row r="37" ht="20.05" customHeight="1">
      <c r="B37" t="s" s="11">
        <v>33</v>
      </c>
      <c r="C37" s="18"/>
      <c r="D37" s="19"/>
      <c r="E37" s="19"/>
      <c r="F37" s="19">
        <f>SUM(C11:F13)</f>
        <v>326.016835270030</v>
      </c>
    </row>
    <row r="38" ht="20.05" customHeight="1">
      <c r="B38" t="s" s="11">
        <v>34</v>
      </c>
      <c r="C38" s="18"/>
      <c r="D38" s="19"/>
      <c r="E38" s="19"/>
      <c r="F38" s="19">
        <f>'Balance Sheet '!E27/F37</f>
        <v>124.972073807949</v>
      </c>
    </row>
    <row r="39" ht="20.05" customHeight="1">
      <c r="B39" t="s" s="11">
        <v>28</v>
      </c>
      <c r="C39" s="18"/>
      <c r="D39" s="19"/>
      <c r="E39" s="19"/>
      <c r="F39" s="19">
        <f>F34/F37</f>
        <v>207.688661059230</v>
      </c>
    </row>
    <row r="40" ht="20.05" customHeight="1">
      <c r="B40" t="s" s="11">
        <v>35</v>
      </c>
      <c r="C40" s="18"/>
      <c r="D40" s="19"/>
      <c r="E40" s="19"/>
      <c r="F40" s="19">
        <v>100</v>
      </c>
    </row>
    <row r="41" ht="20.05" customHeight="1">
      <c r="B41" t="s" s="11">
        <v>36</v>
      </c>
      <c r="C41" s="18"/>
      <c r="D41" s="19"/>
      <c r="E41" s="19"/>
      <c r="F41" s="19">
        <f>F37*F40</f>
        <v>32601.683527003</v>
      </c>
    </row>
    <row r="42" ht="20.05" customHeight="1">
      <c r="B42" t="s" s="11">
        <v>37</v>
      </c>
      <c r="C42" s="18"/>
      <c r="D42" s="19"/>
      <c r="E42" s="19"/>
      <c r="F42" s="19">
        <f>F34/F44</f>
        <v>21.6325878594249</v>
      </c>
    </row>
    <row r="43" ht="20.05" customHeight="1">
      <c r="B43" t="s" s="11">
        <v>38</v>
      </c>
      <c r="C43" s="18"/>
      <c r="D43" s="19"/>
      <c r="E43" s="19"/>
      <c r="F43" s="19">
        <f>F41/F42</f>
        <v>1507.063497851420</v>
      </c>
    </row>
    <row r="44" ht="20.05" customHeight="1">
      <c r="B44" t="s" s="11">
        <v>39</v>
      </c>
      <c r="C44" s="18"/>
      <c r="D44" s="19"/>
      <c r="E44" s="19"/>
      <c r="F44" s="19">
        <f>'Share price'!C27</f>
        <v>3130</v>
      </c>
    </row>
    <row r="45" ht="20.05" customHeight="1">
      <c r="B45" t="s" s="11">
        <v>40</v>
      </c>
      <c r="C45" s="18"/>
      <c r="D45" s="19"/>
      <c r="E45" s="19"/>
      <c r="F45" s="17">
        <f>F43/F44-1</f>
        <v>-0.518510064584211</v>
      </c>
    </row>
    <row r="46" ht="20.05" customHeight="1">
      <c r="B46" t="s" s="11">
        <v>41</v>
      </c>
      <c r="C46" s="18"/>
      <c r="D46" s="19"/>
      <c r="E46" s="19"/>
      <c r="F46" s="17">
        <f>'Sales'!C29/'Sales'!C25-1</f>
        <v>0.169485294117647</v>
      </c>
    </row>
    <row r="47" ht="20.05" customHeight="1">
      <c r="B47" t="s" s="11">
        <v>42</v>
      </c>
      <c r="C47" s="18"/>
      <c r="D47" s="19"/>
      <c r="E47" s="19"/>
      <c r="F47" s="17">
        <f>('Sales'!D24+'Sales'!D29+'Sales'!D25+'Sales'!D26+'Sales'!D27+'Sales'!D28)/('Sales'!C24+'Sales'!C25+'Sales'!C26+'Sales'!C27+'Sales'!C29+'Sales'!C28)-1</f>
        <v>-1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07812" style="24" customWidth="1"/>
    <col min="2" max="2" width="9.39062" style="24" customWidth="1"/>
    <col min="3" max="11" width="10.5547" style="24" customWidth="1"/>
    <col min="12" max="16384" width="16.3516" style="24" customWidth="1"/>
  </cols>
  <sheetData>
    <row r="1" ht="52.6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5">
        <v>1</v>
      </c>
      <c r="C3" t="s" s="25">
        <v>5</v>
      </c>
      <c r="D3" t="s" s="25">
        <v>35</v>
      </c>
      <c r="E3" t="s" s="25">
        <v>24</v>
      </c>
      <c r="F3" t="s" s="25">
        <v>43</v>
      </c>
      <c r="G3" t="s" s="25">
        <v>43</v>
      </c>
      <c r="H3" t="s" s="25">
        <v>44</v>
      </c>
      <c r="I3" t="s" s="25">
        <v>6</v>
      </c>
      <c r="J3" t="s" s="25">
        <v>45</v>
      </c>
      <c r="K3" t="s" s="25">
        <v>45</v>
      </c>
    </row>
    <row r="4" ht="20.25" customHeight="1">
      <c r="B4" s="26">
        <v>2010</v>
      </c>
      <c r="C4" s="27">
        <v>671.4</v>
      </c>
      <c r="D4" s="9"/>
      <c r="E4" s="28">
        <v>26.4</v>
      </c>
      <c r="F4" s="29">
        <v>339.4</v>
      </c>
      <c r="G4" s="9"/>
      <c r="H4" s="30"/>
      <c r="I4" s="30">
        <f>(E4+F4-C4)/C4</f>
        <v>-0.455168305034257</v>
      </c>
      <c r="J4" s="30"/>
      <c r="K4" s="30">
        <f>('Cashflow '!E4+'Cashflow '!H4-'Cashflow '!C4)/'Cashflow '!C4</f>
        <v>-0.964140040788579</v>
      </c>
    </row>
    <row r="5" ht="20.05" customHeight="1">
      <c r="B5" s="31">
        <v>2011</v>
      </c>
      <c r="C5" s="32">
        <v>970</v>
      </c>
      <c r="D5" s="33"/>
      <c r="E5" s="34">
        <v>56.1</v>
      </c>
      <c r="F5" s="19">
        <v>492.3</v>
      </c>
      <c r="G5" s="33"/>
      <c r="H5" s="17">
        <f>C5/C4-1</f>
        <v>0.444742329460828</v>
      </c>
      <c r="I5" s="17">
        <f>(E5+F5-C5)/C5</f>
        <v>-0.434639175257732</v>
      </c>
      <c r="J5" s="17"/>
      <c r="K5" s="17">
        <f>('Cashflow '!E5+'Cashflow '!H5-'Cashflow '!C5)/'Cashflow '!C5</f>
        <v>-0.600675896653221</v>
      </c>
    </row>
    <row r="6" ht="20.05" customHeight="1">
      <c r="B6" s="31">
        <v>2012</v>
      </c>
      <c r="C6" s="32">
        <v>1715.4</v>
      </c>
      <c r="D6" s="33"/>
      <c r="E6" s="34">
        <v>117.7</v>
      </c>
      <c r="F6" s="19">
        <v>927.4</v>
      </c>
      <c r="G6" s="19">
        <f>AVERAGE(F4:F6)</f>
        <v>586.366666666667</v>
      </c>
      <c r="H6" s="17">
        <f>C6/C5-1</f>
        <v>0.768453608247423</v>
      </c>
      <c r="I6" s="13"/>
      <c r="J6" s="17"/>
      <c r="K6" s="17">
        <f>('Cashflow '!E6+'Cashflow '!H6-'Cashflow '!C6)/'Cashflow '!C6</f>
        <v>-0.634526699029126</v>
      </c>
    </row>
    <row r="7" ht="20.05" customHeight="1">
      <c r="B7" s="31">
        <v>2013</v>
      </c>
      <c r="C7" s="32">
        <v>2690.5</v>
      </c>
      <c r="D7" s="33"/>
      <c r="E7" s="34">
        <v>152.9</v>
      </c>
      <c r="F7" s="19">
        <v>780.6</v>
      </c>
      <c r="G7" s="19">
        <f>AVERAGE(F4:F7)</f>
        <v>634.925</v>
      </c>
      <c r="H7" s="17">
        <f>C7/C6-1</f>
        <v>0.56843884808208</v>
      </c>
      <c r="I7" s="17">
        <f>(E7+F7-C7)/C7</f>
        <v>-0.653038468686118</v>
      </c>
      <c r="J7" s="17">
        <f>AVERAGE(K4:K7)</f>
        <v>-0.731048547696146</v>
      </c>
      <c r="K7" s="17">
        <f>('Cashflow '!E7+'Cashflow '!H7-'Cashflow '!C7)/'Cashflow '!C7</f>
        <v>-0.724851554313657</v>
      </c>
    </row>
    <row r="8" ht="20.05" customHeight="1">
      <c r="B8" s="31">
        <v>2014</v>
      </c>
      <c r="C8" s="32">
        <v>3306.8</v>
      </c>
      <c r="D8" s="33"/>
      <c r="E8" s="34">
        <v>211.5</v>
      </c>
      <c r="F8" s="19">
        <v>741.6</v>
      </c>
      <c r="G8" s="19">
        <f>AVERAGE(F5:F8)</f>
        <v>735.475</v>
      </c>
      <c r="H8" s="17">
        <f>C8/C7-1</f>
        <v>0.229065229511243</v>
      </c>
      <c r="I8" s="17">
        <f>(E8+F8-C8)/C8</f>
        <v>-0.711775734849401</v>
      </c>
      <c r="J8" s="17">
        <f>AVERAGE(K5:K8)</f>
        <v>-0.6426271318839289</v>
      </c>
      <c r="K8" s="17">
        <f>('Cashflow '!E8+'Cashflow '!H8-'Cashflow '!C8)/'Cashflow '!C8</f>
        <v>-0.610454377539712</v>
      </c>
    </row>
    <row r="9" ht="20.05" customHeight="1">
      <c r="B9" s="31">
        <v>2015</v>
      </c>
      <c r="C9" s="32">
        <v>3421.2</v>
      </c>
      <c r="D9" s="33"/>
      <c r="E9" s="34">
        <v>250.3</v>
      </c>
      <c r="F9" s="19">
        <v>1445</v>
      </c>
      <c r="G9" s="19">
        <f>AVERAGE(F6:F9)</f>
        <v>973.65</v>
      </c>
      <c r="H9" s="17">
        <f>C9/C8-1</f>
        <v>0.0345953792185799</v>
      </c>
      <c r="I9" s="17">
        <f>(E9+F9-C9)/C9</f>
        <v>-0.504472115047352</v>
      </c>
      <c r="J9" s="17">
        <f>AVERAGE(K6:K9)</f>
        <v>-0.6526208235450081</v>
      </c>
      <c r="K9" s="17">
        <f>('Cashflow '!E9+'Cashflow '!H9-'Cashflow '!C9)/'Cashflow '!C9</f>
        <v>-0.6406506632975359</v>
      </c>
    </row>
    <row r="10" ht="20.05" customHeight="1">
      <c r="B10" s="31">
        <v>2016</v>
      </c>
      <c r="C10" s="32">
        <v>3711.2</v>
      </c>
      <c r="D10" s="33"/>
      <c r="E10" s="34">
        <v>562.4</v>
      </c>
      <c r="F10" s="19">
        <v>723.2</v>
      </c>
      <c r="G10" s="19">
        <f>AVERAGE(F7:F10)</f>
        <v>922.6</v>
      </c>
      <c r="H10" s="17">
        <f>C10/C9-1</f>
        <v>0.08476557932889039</v>
      </c>
      <c r="I10" s="17">
        <f>(E10+F10-C10)/C10</f>
        <v>-0.653589135589567</v>
      </c>
      <c r="J10" s="17">
        <f>AVERAGE(K7:K10)</f>
        <v>-0.6259682452138901</v>
      </c>
      <c r="K10" s="17">
        <f>('Cashflow '!E10+'Cashflow '!H10-'Cashflow '!C10)/'Cashflow '!C10</f>
        <v>-0.527916385704653</v>
      </c>
    </row>
    <row r="11" ht="20.05" customHeight="1">
      <c r="B11" s="31">
        <v>2017</v>
      </c>
      <c r="C11" s="32">
        <v>956</v>
      </c>
      <c r="D11" s="34"/>
      <c r="E11" s="34">
        <v>114.4</v>
      </c>
      <c r="F11" s="34">
        <v>203.6</v>
      </c>
      <c r="G11" s="19">
        <f>AVERAGE(F8:F11)</f>
        <v>778.35</v>
      </c>
      <c r="H11" s="17">
        <f>C11/C10-1</f>
        <v>-0.7424013796076741</v>
      </c>
      <c r="I11" s="17">
        <f>(E11+F11-C11)/C11</f>
        <v>-0.667364016736402</v>
      </c>
      <c r="J11" s="17">
        <f>AVERAGE(K8:K11)</f>
        <v>-0.673423803350126</v>
      </c>
      <c r="K11" s="17">
        <f>('Cashflow '!E11+'Cashflow '!H11-'Cashflow '!C11)/'Cashflow '!C11</f>
        <v>-0.914673786858602</v>
      </c>
    </row>
    <row r="12" ht="20.05" customHeight="1">
      <c r="B12" s="35"/>
      <c r="C12" s="32">
        <v>984.8</v>
      </c>
      <c r="D12" s="34"/>
      <c r="E12" s="34">
        <v>114.6</v>
      </c>
      <c r="F12" s="34">
        <v>174.4</v>
      </c>
      <c r="G12" s="19">
        <f>AVERAGE(F9:F12)</f>
        <v>636.55</v>
      </c>
      <c r="H12" s="17">
        <f>C12/C11-1</f>
        <v>0.0301255230125523</v>
      </c>
      <c r="I12" s="17">
        <f>(E12+F12-C12)/C12</f>
        <v>-0.706539398862713</v>
      </c>
      <c r="J12" s="17">
        <f>AVERAGE(K9:K12)</f>
        <v>-0.634060682305453</v>
      </c>
      <c r="K12" s="17">
        <f>('Cashflow '!E12+'Cashflow '!H12-'Cashflow '!C12)/'Cashflow '!C12</f>
        <v>-0.453001893361021</v>
      </c>
    </row>
    <row r="13" ht="20.05" customHeight="1">
      <c r="B13" s="35"/>
      <c r="C13" s="32">
        <v>1034.3</v>
      </c>
      <c r="D13" s="34"/>
      <c r="E13" s="34">
        <v>125.6</v>
      </c>
      <c r="F13" s="34">
        <v>277.2</v>
      </c>
      <c r="G13" s="19">
        <f>AVERAGE(F10:F13)</f>
        <v>344.6</v>
      </c>
      <c r="H13" s="17">
        <f>C13/C12-1</f>
        <v>0.050264012997563</v>
      </c>
      <c r="I13" s="17">
        <f>(E13+F13-C13)/C13</f>
        <v>-0.610557865222856</v>
      </c>
      <c r="J13" s="17">
        <f>AVERAGE(K10:K13)</f>
        <v>-0.814851229449424</v>
      </c>
      <c r="K13" s="17">
        <f>('Cashflow '!E13+'Cashflow '!H13-'Cashflow '!C13)/'Cashflow '!C13</f>
        <v>-1.36381285187342</v>
      </c>
    </row>
    <row r="14" ht="20.05" customHeight="1">
      <c r="B14" s="35"/>
      <c r="C14" s="32">
        <v>1048</v>
      </c>
      <c r="D14" s="34"/>
      <c r="E14" s="34">
        <v>128.1</v>
      </c>
      <c r="F14" s="34">
        <v>1683.8</v>
      </c>
      <c r="G14" s="34">
        <f>AVERAGE(F11:F14)</f>
        <v>584.75</v>
      </c>
      <c r="H14" s="17">
        <f>C14/C13-1</f>
        <v>0.0132456734023011</v>
      </c>
      <c r="I14" s="17">
        <f>(E14+F14-C14)/C14</f>
        <v>0.728912213740458</v>
      </c>
      <c r="J14" s="17">
        <f>AVERAGE(K11:K14)</f>
        <v>-0.808850969002097</v>
      </c>
      <c r="K14" s="17">
        <f>('Cashflow '!E14+'Cashflow '!H14-'Cashflow '!C14)/'Cashflow '!C14</f>
        <v>-0.503915343915344</v>
      </c>
    </row>
    <row r="15" ht="20.05" customHeight="1">
      <c r="B15" s="31">
        <v>2018</v>
      </c>
      <c r="C15" s="32">
        <v>1036.3</v>
      </c>
      <c r="D15" s="34"/>
      <c r="E15" s="34">
        <v>135.1</v>
      </c>
      <c r="F15" s="34">
        <v>236.3</v>
      </c>
      <c r="G15" s="34">
        <f>AVERAGE(F12:F15)</f>
        <v>592.925</v>
      </c>
      <c r="H15" s="17">
        <f>C15/C14-1</f>
        <v>-0.0111641221374046</v>
      </c>
      <c r="I15" s="17">
        <f>(E15+F15-C15)/C15</f>
        <v>-0.641609572517611</v>
      </c>
      <c r="J15" s="17">
        <f>AVERAGE(K12:K15)</f>
        <v>-0.676021898193832</v>
      </c>
      <c r="K15" s="17">
        <f>('Cashflow '!E15+'Cashflow '!H15-'Cashflow '!C15)/'Cashflow '!C15</f>
        <v>-0.383357503625544</v>
      </c>
    </row>
    <row r="16" ht="20.05" customHeight="1">
      <c r="B16" s="35"/>
      <c r="C16" s="32">
        <v>1042.2</v>
      </c>
      <c r="D16" s="34"/>
      <c r="E16" s="34">
        <v>140</v>
      </c>
      <c r="F16" s="34">
        <v>170.8</v>
      </c>
      <c r="G16" s="34">
        <f>AVERAGE(F13:F16)</f>
        <v>592.025</v>
      </c>
      <c r="H16" s="17">
        <f>C16/C15-1</f>
        <v>0.00569333204670462</v>
      </c>
      <c r="I16" s="17">
        <f>(E16+F16-C16)/C16</f>
        <v>-0.7017846862406451</v>
      </c>
      <c r="J16" s="17">
        <f>AVERAGE(K13:K16)</f>
        <v>-0.839972342167885</v>
      </c>
      <c r="K16" s="17">
        <f>('Cashflow '!E16+'Cashflow '!H16-'Cashflow '!C16)/'Cashflow '!C16</f>
        <v>-1.10880366925723</v>
      </c>
    </row>
    <row r="17" ht="20.05" customHeight="1">
      <c r="B17" s="35"/>
      <c r="C17" s="32">
        <v>1089.3</v>
      </c>
      <c r="D17" s="34"/>
      <c r="E17" s="34">
        <v>144.2</v>
      </c>
      <c r="F17" s="34">
        <v>223.5</v>
      </c>
      <c r="G17" s="34">
        <f>AVERAGE(F14:F17)</f>
        <v>578.6</v>
      </c>
      <c r="H17" s="17">
        <f>C17/C16-1</f>
        <v>0.0451928612550374</v>
      </c>
      <c r="I17" s="17">
        <f>(E17+F17-C17)/C17</f>
        <v>-0.66244377122923</v>
      </c>
      <c r="J17" s="17">
        <f>AVERAGE(K14:K17)</f>
        <v>-0.806770256050785</v>
      </c>
      <c r="K17" s="17">
        <f>('Cashflow '!E17+'Cashflow '!H17-'Cashflow '!C17)/'Cashflow '!C17</f>
        <v>-1.23100450740502</v>
      </c>
    </row>
    <row r="18" ht="20.05" customHeight="1">
      <c r="B18" s="35"/>
      <c r="C18" s="32">
        <v>1150.3</v>
      </c>
      <c r="D18" s="34"/>
      <c r="E18" s="34">
        <v>148</v>
      </c>
      <c r="F18" s="34">
        <v>72</v>
      </c>
      <c r="G18" s="34">
        <f>AVERAGE(F15:F18)</f>
        <v>175.65</v>
      </c>
      <c r="H18" s="17">
        <f>C18/C17-1</f>
        <v>0.0559992655834022</v>
      </c>
      <c r="I18" s="17">
        <f>(E18+F18-C18)/C18</f>
        <v>-0.8087455446405289</v>
      </c>
      <c r="J18" s="17">
        <f>AVERAGE(K15:K18)</f>
        <v>-0.861637245654616</v>
      </c>
      <c r="K18" s="17">
        <f>('Cashflow '!E18+'Cashflow '!H18-'Cashflow '!C18)/'Cashflow '!C18</f>
        <v>-0.7233833023306711</v>
      </c>
    </row>
    <row r="19" ht="20.05" customHeight="1">
      <c r="B19" s="31">
        <v>2019</v>
      </c>
      <c r="C19" s="32">
        <v>1131.1</v>
      </c>
      <c r="D19" s="34"/>
      <c r="E19" s="34">
        <v>154.3</v>
      </c>
      <c r="F19" s="34">
        <v>229.3</v>
      </c>
      <c r="G19" s="34">
        <f>AVERAGE(F16:F19)</f>
        <v>173.9</v>
      </c>
      <c r="H19" s="17">
        <f>C19/C18-1</f>
        <v>-0.0166912979222811</v>
      </c>
      <c r="I19" s="17">
        <f>(E19+F19-C19)/C19</f>
        <v>-0.660861108655291</v>
      </c>
      <c r="J19" s="17">
        <f>AVERAGE(K16:K19)</f>
        <v>-0.901298372766339</v>
      </c>
      <c r="K19" s="17">
        <f>('Cashflow '!E19+'Cashflow '!H19-'Cashflow '!C19)/'Cashflow '!C19</f>
        <v>-0.542002012072435</v>
      </c>
    </row>
    <row r="20" ht="20.05" customHeight="1">
      <c r="B20" s="35"/>
      <c r="C20" s="32">
        <v>1146.3</v>
      </c>
      <c r="D20" s="34"/>
      <c r="E20" s="34">
        <v>154.1</v>
      </c>
      <c r="F20" s="34">
        <v>173.4</v>
      </c>
      <c r="G20" s="34">
        <f>AVERAGE(F17:F20)</f>
        <v>174.55</v>
      </c>
      <c r="H20" s="17">
        <f>C20/C19-1</f>
        <v>0.0134382459552648</v>
      </c>
      <c r="I20" s="17">
        <f>(E20+F20-C20)/C20</f>
        <v>-0.714298176742563</v>
      </c>
      <c r="J20" s="17">
        <f>AVERAGE(K17:K20)</f>
        <v>-0.718277557693479</v>
      </c>
      <c r="K20" s="17">
        <f>('Cashflow '!E20+'Cashflow '!H20-'Cashflow '!C20)/'Cashflow '!C20</f>
        <v>-0.376720408965788</v>
      </c>
    </row>
    <row r="21" ht="20.05" customHeight="1">
      <c r="B21" s="35"/>
      <c r="C21" s="32">
        <v>1192</v>
      </c>
      <c r="D21" s="34"/>
      <c r="E21" s="34">
        <v>154.3</v>
      </c>
      <c r="F21" s="34">
        <v>242</v>
      </c>
      <c r="G21" s="34">
        <f>AVERAGE(F18:F21)</f>
        <v>179.175</v>
      </c>
      <c r="H21" s="17">
        <f>C21/C20-1</f>
        <v>0.0398673994591294</v>
      </c>
      <c r="I21" s="17">
        <f>(E21+F21-C21)/C21</f>
        <v>-0.66753355704698</v>
      </c>
      <c r="J21" s="17">
        <f>AVERAGE(K18:K21)</f>
        <v>-0.627370284662822</v>
      </c>
      <c r="K21" s="17">
        <f>('Cashflow '!E21+'Cashflow '!H21-'Cashflow '!C21)/'Cashflow '!C21</f>
        <v>-0.867375415282392</v>
      </c>
    </row>
    <row r="22" ht="20.05" customHeight="1">
      <c r="B22" s="35"/>
      <c r="C22" s="32">
        <v>1229.3</v>
      </c>
      <c r="D22" s="34"/>
      <c r="E22" s="34">
        <v>179.1</v>
      </c>
      <c r="F22" s="34">
        <v>221.4</v>
      </c>
      <c r="G22" s="34">
        <f>AVERAGE(F19:F22)</f>
        <v>216.525</v>
      </c>
      <c r="H22" s="17">
        <f>C22/C21-1</f>
        <v>0.0312919463087248</v>
      </c>
      <c r="I22" s="17">
        <f>(E22+F22-C22)/C22</f>
        <v>-0.674204832018222</v>
      </c>
      <c r="J22" s="17">
        <f>AVERAGE(K19:K22)</f>
        <v>-0.823568383414876</v>
      </c>
      <c r="K22" s="17">
        <f>('Cashflow '!E22+'Cashflow '!H22-'Cashflow '!C22)/'Cashflow '!C22</f>
        <v>-1.50817569733889</v>
      </c>
    </row>
    <row r="23" ht="20.05" customHeight="1">
      <c r="B23" s="31">
        <v>2020</v>
      </c>
      <c r="C23" s="32">
        <v>1261.9</v>
      </c>
      <c r="D23" s="34"/>
      <c r="E23" s="34">
        <v>141.9</v>
      </c>
      <c r="F23" s="34">
        <v>244.8</v>
      </c>
      <c r="G23" s="34">
        <f>AVERAGE(F20:F23)</f>
        <v>220.4</v>
      </c>
      <c r="H23" s="17">
        <f>C23/C22-1</f>
        <v>0.02651915724396</v>
      </c>
      <c r="I23" s="17">
        <f>(E23+F23-C23)/C23</f>
        <v>-0.69355733417862</v>
      </c>
      <c r="J23" s="17">
        <f>AVERAGE(K20:K23)</f>
        <v>-0.786307176115055</v>
      </c>
      <c r="K23" s="17">
        <f>('Cashflow '!E23+'Cashflow '!H23-'Cashflow '!C23)/'Cashflow '!C23</f>
        <v>-0.392957182873149</v>
      </c>
    </row>
    <row r="24" ht="20.05" customHeight="1">
      <c r="B24" s="35"/>
      <c r="C24" s="32">
        <v>1315.4</v>
      </c>
      <c r="D24" s="34"/>
      <c r="E24" s="34">
        <v>199.5</v>
      </c>
      <c r="F24" s="34">
        <v>293.1</v>
      </c>
      <c r="G24" s="34">
        <f>AVERAGE(F21:F24)</f>
        <v>250.325</v>
      </c>
      <c r="H24" s="17">
        <f>C24/C23-1</f>
        <v>0.0423963864014581</v>
      </c>
      <c r="I24" s="17">
        <f>(E24+F24-C24)/C24</f>
        <v>-0.62551315189296</v>
      </c>
      <c r="J24" s="17">
        <f>AVERAGE(K21:K24)</f>
        <v>-0.933892276576311</v>
      </c>
      <c r="K24" s="17">
        <f>('Cashflow '!E24+'Cashflow '!H24-'Cashflow '!C24)/'Cashflow '!C24</f>
        <v>-0.967060810810811</v>
      </c>
    </row>
    <row r="25" ht="20.05" customHeight="1">
      <c r="B25" s="35"/>
      <c r="C25" s="32">
        <v>1360</v>
      </c>
      <c r="D25" s="34"/>
      <c r="E25" s="34">
        <v>178.6</v>
      </c>
      <c r="F25" s="34">
        <v>254</v>
      </c>
      <c r="G25" s="34">
        <f>AVERAGE(F22:F25)</f>
        <v>253.325</v>
      </c>
      <c r="H25" s="17">
        <f>C25/C24-1</f>
        <v>0.0339060361867113</v>
      </c>
      <c r="I25" s="17">
        <f>(E25+F25-C25)/C25</f>
        <v>-0.681911764705882</v>
      </c>
      <c r="J25" s="17">
        <f>AVERAGE(K22:K25)</f>
        <v>-0.894242593130382</v>
      </c>
      <c r="K25" s="17">
        <f>('Cashflow '!E25+'Cashflow '!H25-'Cashflow '!C25)/'Cashflow '!C25</f>
        <v>-0.708776681498678</v>
      </c>
    </row>
    <row r="26" ht="20.05" customHeight="1">
      <c r="B26" s="35"/>
      <c r="C26" s="32">
        <v>1390.4</v>
      </c>
      <c r="D26" s="34"/>
      <c r="E26" s="34">
        <v>281.1</v>
      </c>
      <c r="F26" s="34">
        <v>274.7</v>
      </c>
      <c r="G26" s="34">
        <f>AVERAGE(F23:F26)</f>
        <v>266.65</v>
      </c>
      <c r="H26" s="17">
        <f>C26/C25-1</f>
        <v>0.0223529411764706</v>
      </c>
      <c r="I26" s="17">
        <f>(E26+F26-C26)/C26</f>
        <v>-0.600258918296893</v>
      </c>
      <c r="J26" s="17">
        <f>AVERAGE(K23:K26)</f>
        <v>-0.715106439931441</v>
      </c>
      <c r="K26" s="17">
        <f>('Cashflow '!E26+'Cashflow '!H26-'Cashflow '!C26)/'Cashflow '!C26</f>
        <v>-0.791631084543126</v>
      </c>
    </row>
    <row r="27" ht="20.05" customHeight="1">
      <c r="B27" s="31">
        <v>2021</v>
      </c>
      <c r="C27" s="32">
        <v>1422.1</v>
      </c>
      <c r="D27" s="33"/>
      <c r="E27" s="34">
        <v>257.8</v>
      </c>
      <c r="F27" s="34">
        <v>284.1</v>
      </c>
      <c r="G27" s="34">
        <f>AVERAGE(F24:F27)</f>
        <v>276.475</v>
      </c>
      <c r="H27" s="17">
        <f>C27/C26-1</f>
        <v>0.0227991944764097</v>
      </c>
      <c r="I27" s="17">
        <f>(E27+F27-C27)/C27</f>
        <v>-0.618943815484143</v>
      </c>
      <c r="J27" s="17">
        <f>AVERAGE(K24:K27)</f>
        <v>-0.7433039258223491</v>
      </c>
      <c r="K27" s="17">
        <f>('Cashflow '!E27+'Cashflow '!H27-'Cashflow '!C27)/'Cashflow '!C27</f>
        <v>-0.505747126436782</v>
      </c>
    </row>
    <row r="28" ht="20.05" customHeight="1">
      <c r="B28" s="35"/>
      <c r="C28" s="32">
        <v>1549.3</v>
      </c>
      <c r="D28" s="33"/>
      <c r="E28" s="34">
        <v>287.9</v>
      </c>
      <c r="F28" s="34">
        <v>405.7</v>
      </c>
      <c r="G28" s="34">
        <f>AVERAGE(F25:F28)</f>
        <v>304.625</v>
      </c>
      <c r="H28" s="17">
        <f>C28/C27-1</f>
        <v>0.0894451866957317</v>
      </c>
      <c r="I28" s="17">
        <f>(E28+F28-C28)/C28</f>
        <v>-0.552313948234687</v>
      </c>
      <c r="J28" s="17">
        <f>AVERAGE(K25:K28)</f>
        <v>-0.668807877372643</v>
      </c>
      <c r="K28" s="17">
        <f>('Cashflow '!E28+'Cashflow '!H28-'Cashflow '!C28)/'Cashflow '!C28</f>
        <v>-0.669076617011985</v>
      </c>
    </row>
    <row r="29" ht="20.05" customHeight="1">
      <c r="B29" s="35"/>
      <c r="C29" s="32">
        <v>1590.5</v>
      </c>
      <c r="D29" s="33"/>
      <c r="E29" s="34">
        <v>335.9</v>
      </c>
      <c r="F29" s="34">
        <v>430</v>
      </c>
      <c r="G29" s="34">
        <f>AVERAGE(F26:F29)</f>
        <v>348.625</v>
      </c>
      <c r="H29" s="17">
        <f>C29/C28-1</f>
        <v>0.0265926547473052</v>
      </c>
      <c r="I29" s="17">
        <f>(E29+F29-C29)/C29</f>
        <v>-0.518453316567117</v>
      </c>
      <c r="J29" s="17">
        <f>AVERAGE(K26:K29)</f>
        <v>-0.710374645044876</v>
      </c>
      <c r="K29" s="17">
        <f>('Cashflow '!E29+'Cashflow '!H29-'Cashflow '!C29)/'Cashflow '!C29</f>
        <v>-0.875043752187609</v>
      </c>
    </row>
    <row r="30" ht="20.05" customHeight="1">
      <c r="B30" s="35"/>
      <c r="C30" s="32"/>
      <c r="D30" s="19">
        <f>'Model'!C6</f>
        <v>1638.215</v>
      </c>
      <c r="E30" s="33"/>
      <c r="F30" s="33"/>
      <c r="G30" s="19">
        <f>AVERAGE('Model'!C10:F10)</f>
        <v>222.704208817508</v>
      </c>
      <c r="H30" s="13"/>
      <c r="I30" s="17">
        <f>'Model'!C7</f>
        <v>-0.669076617011985</v>
      </c>
      <c r="J30" s="33"/>
      <c r="K30" s="17"/>
    </row>
    <row r="31" ht="20.05" customHeight="1">
      <c r="B31" s="31">
        <v>2022</v>
      </c>
      <c r="C31" s="32"/>
      <c r="D31" s="19">
        <f>'Model'!D6</f>
        <v>1638.215</v>
      </c>
      <c r="E31" s="33"/>
      <c r="F31" s="33"/>
      <c r="G31" s="33"/>
      <c r="H31" s="33"/>
      <c r="I31" s="33"/>
      <c r="J31" s="36"/>
      <c r="K31" s="36"/>
    </row>
    <row r="32" ht="20.05" customHeight="1">
      <c r="B32" s="35"/>
      <c r="C32" s="32"/>
      <c r="D32" s="19">
        <f>'Model'!E6</f>
        <v>1703.7436</v>
      </c>
      <c r="E32" s="33"/>
      <c r="F32" s="33"/>
      <c r="G32" s="33"/>
      <c r="H32" s="33"/>
      <c r="I32" s="33"/>
      <c r="J32" s="36"/>
      <c r="K32" s="36"/>
    </row>
    <row r="33" ht="20.05" customHeight="1">
      <c r="B33" s="35"/>
      <c r="C33" s="32"/>
      <c r="D33" s="19">
        <f>'Model'!F6</f>
        <v>1771.893344</v>
      </c>
      <c r="E33" s="33"/>
      <c r="F33" s="33"/>
      <c r="G33" s="33"/>
      <c r="H33" s="33"/>
      <c r="I33" s="33"/>
      <c r="J33" s="36"/>
      <c r="K33" s="36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P3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32812" style="37" customWidth="1"/>
    <col min="2" max="2" width="7.47656" style="37" customWidth="1"/>
    <col min="3" max="16" width="10.3594" style="37" customWidth="1"/>
    <col min="17" max="16384" width="16.3516" style="37" customWidth="1"/>
  </cols>
  <sheetData>
    <row r="1" ht="27.7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.25" customHeight="1">
      <c r="B3" t="s" s="25">
        <v>1</v>
      </c>
      <c r="C3" t="s" s="25">
        <v>46</v>
      </c>
      <c r="D3" s="6"/>
      <c r="E3" t="s" s="25">
        <v>10</v>
      </c>
      <c r="F3" t="s" s="25">
        <v>11</v>
      </c>
      <c r="G3" t="s" s="25">
        <v>12</v>
      </c>
      <c r="H3" t="s" s="25">
        <v>47</v>
      </c>
      <c r="I3" t="s" s="25">
        <v>48</v>
      </c>
      <c r="J3" t="s" s="25">
        <v>49</v>
      </c>
      <c r="K3" t="s" s="25">
        <v>14</v>
      </c>
      <c r="L3" t="s" s="25">
        <v>15</v>
      </c>
      <c r="M3" t="s" s="25">
        <v>50</v>
      </c>
      <c r="N3" t="s" s="25">
        <v>51</v>
      </c>
      <c r="O3" t="s" s="25">
        <v>3</v>
      </c>
      <c r="P3" t="s" s="25">
        <v>52</v>
      </c>
    </row>
    <row r="4" ht="20.25" customHeight="1">
      <c r="B4" s="26">
        <v>2010</v>
      </c>
      <c r="C4" s="38">
        <v>588.4</v>
      </c>
      <c r="D4" s="29"/>
      <c r="E4" s="29">
        <v>346.8</v>
      </c>
      <c r="F4" s="29">
        <v>-815.5</v>
      </c>
      <c r="G4" s="29">
        <v>-2.1</v>
      </c>
      <c r="H4" s="29">
        <v>-325.7</v>
      </c>
      <c r="I4" s="29">
        <v>0</v>
      </c>
      <c r="J4" s="29">
        <v>0</v>
      </c>
      <c r="K4" s="29">
        <v>502</v>
      </c>
      <c r="L4" s="29">
        <v>1284.5</v>
      </c>
      <c r="M4" s="29">
        <v>1458.6</v>
      </c>
      <c r="N4" s="29">
        <f>H4+E4+F4</f>
        <v>-794.4</v>
      </c>
      <c r="O4" s="39"/>
      <c r="P4" s="29">
        <f>-(L4+M4)</f>
        <v>-2743.1</v>
      </c>
    </row>
    <row r="5" ht="20.05" customHeight="1">
      <c r="B5" s="31">
        <v>2011</v>
      </c>
      <c r="C5" s="18">
        <v>917.3</v>
      </c>
      <c r="D5" s="19"/>
      <c r="E5" s="19">
        <v>631.3</v>
      </c>
      <c r="F5" s="19">
        <v>-1484.3</v>
      </c>
      <c r="G5" s="19">
        <v>-2.9</v>
      </c>
      <c r="H5" s="19">
        <v>-265</v>
      </c>
      <c r="I5" s="19">
        <v>0</v>
      </c>
      <c r="J5" s="19">
        <v>0</v>
      </c>
      <c r="K5" s="19">
        <v>749.5</v>
      </c>
      <c r="L5" s="19">
        <v>-115.3</v>
      </c>
      <c r="M5" s="19">
        <v>366.3</v>
      </c>
      <c r="N5" s="19">
        <f>H5+E5+F5</f>
        <v>-1118</v>
      </c>
      <c r="O5" s="22"/>
      <c r="P5" s="19">
        <f>-(K5+L5)+P4</f>
        <v>-3377.3</v>
      </c>
    </row>
    <row r="6" ht="20.05" customHeight="1">
      <c r="B6" s="31">
        <v>2012</v>
      </c>
      <c r="C6" s="18">
        <v>1648</v>
      </c>
      <c r="D6" s="19"/>
      <c r="E6" s="19">
        <v>1276.7</v>
      </c>
      <c r="F6" s="19">
        <v>-5572.3</v>
      </c>
      <c r="G6" s="19">
        <v>-3.6</v>
      </c>
      <c r="H6" s="19">
        <v>-674.4</v>
      </c>
      <c r="I6" s="19">
        <v>0</v>
      </c>
      <c r="J6" s="19">
        <v>0</v>
      </c>
      <c r="K6" s="19">
        <v>5065.3</v>
      </c>
      <c r="L6" s="19">
        <v>0</v>
      </c>
      <c r="M6" s="19">
        <v>4387.3</v>
      </c>
      <c r="N6" s="19">
        <f>H6+E6+F6</f>
        <v>-4970</v>
      </c>
      <c r="O6" s="19">
        <f>AVERAGE(N4:N6)</f>
        <v>-2294.133333333330</v>
      </c>
      <c r="P6" s="19">
        <f>-(K6+L6)+P5</f>
        <v>-8442.6</v>
      </c>
    </row>
    <row r="7" ht="20.05" customHeight="1">
      <c r="B7" s="31">
        <v>2013</v>
      </c>
      <c r="C7" s="18">
        <v>2290.4</v>
      </c>
      <c r="D7" s="19"/>
      <c r="E7" s="19">
        <v>1586</v>
      </c>
      <c r="F7" s="19">
        <v>-1909.8</v>
      </c>
      <c r="G7" s="19">
        <v>-1.4</v>
      </c>
      <c r="H7" s="19">
        <v>-955.8</v>
      </c>
      <c r="I7" s="19">
        <v>0</v>
      </c>
      <c r="J7" s="19">
        <v>0</v>
      </c>
      <c r="K7" s="19">
        <v>2126.1</v>
      </c>
      <c r="L7" s="19">
        <v>-969.3</v>
      </c>
      <c r="M7" s="19">
        <v>199.6</v>
      </c>
      <c r="N7" s="19">
        <f>H7+E7+F7</f>
        <v>-1279.6</v>
      </c>
      <c r="O7" s="19">
        <f>AVERAGE(N4:N7)</f>
        <v>-2040.5</v>
      </c>
      <c r="P7" s="19">
        <f>-(K7+L7)+P6</f>
        <v>-9599.4</v>
      </c>
    </row>
    <row r="8" ht="20.05" customHeight="1">
      <c r="B8" s="31">
        <v>2014</v>
      </c>
      <c r="C8" s="18">
        <v>3248.4</v>
      </c>
      <c r="D8" s="19"/>
      <c r="E8" s="19">
        <v>2552.7</v>
      </c>
      <c r="F8" s="19">
        <v>-2363.2</v>
      </c>
      <c r="G8" s="19">
        <v>-4.1</v>
      </c>
      <c r="H8" s="19">
        <v>-1287.3</v>
      </c>
      <c r="I8" s="19">
        <v>0</v>
      </c>
      <c r="J8" s="19">
        <v>0</v>
      </c>
      <c r="K8" s="19">
        <v>2736.2</v>
      </c>
      <c r="L8" s="19">
        <v>-1441</v>
      </c>
      <c r="M8" s="19">
        <v>3.8</v>
      </c>
      <c r="N8" s="19">
        <f>H8+E8+F8</f>
        <v>-1097.8</v>
      </c>
      <c r="O8" s="19">
        <f>AVERAGE(N5:N8)</f>
        <v>-2116.35</v>
      </c>
      <c r="P8" s="19">
        <f>-(K8+L8)+P7</f>
        <v>-10894.6</v>
      </c>
    </row>
    <row r="9" ht="20.05" customHeight="1">
      <c r="B9" s="31">
        <v>2015</v>
      </c>
      <c r="C9" s="18">
        <v>3166</v>
      </c>
      <c r="D9" s="19"/>
      <c r="E9" s="19">
        <v>2218.5</v>
      </c>
      <c r="F9" s="19">
        <v>-1591.2</v>
      </c>
      <c r="G9" s="19">
        <v>-0.1</v>
      </c>
      <c r="H9" s="19">
        <v>-1080.8</v>
      </c>
      <c r="I9" s="19">
        <v>0</v>
      </c>
      <c r="J9" s="19">
        <v>0</v>
      </c>
      <c r="K9" s="19">
        <v>782.7</v>
      </c>
      <c r="L9" s="19">
        <v>-951</v>
      </c>
      <c r="M9" s="19">
        <v>-1249.2</v>
      </c>
      <c r="N9" s="19">
        <f>H9+E9+F9</f>
        <v>-453.5</v>
      </c>
      <c r="O9" s="19">
        <f>AVERAGE(N6:N9)</f>
        <v>-1950.225</v>
      </c>
      <c r="P9" s="19">
        <f>-(K9+L9)+P8</f>
        <v>-10726.3</v>
      </c>
    </row>
    <row r="10" ht="20.05" customHeight="1">
      <c r="B10" s="31">
        <v>2016</v>
      </c>
      <c r="C10" s="18">
        <v>4449</v>
      </c>
      <c r="D10" s="19"/>
      <c r="E10" s="19">
        <v>3774</v>
      </c>
      <c r="F10" s="19">
        <v>-1365.3</v>
      </c>
      <c r="G10" s="19">
        <v>-4.1</v>
      </c>
      <c r="H10" s="19">
        <v>-1673.7</v>
      </c>
      <c r="I10" s="19">
        <v>0</v>
      </c>
      <c r="J10" s="19">
        <v>0</v>
      </c>
      <c r="K10" s="19">
        <v>853.7</v>
      </c>
      <c r="L10" s="19">
        <v>-1510.7</v>
      </c>
      <c r="M10" s="19">
        <v>-2334.8</v>
      </c>
      <c r="N10" s="19">
        <f>H10+E10+F10</f>
        <v>735</v>
      </c>
      <c r="O10" s="19">
        <f>AVERAGE(N7:N10)</f>
        <v>-523.975</v>
      </c>
      <c r="P10" s="19">
        <f>-(K10+L10)+P9</f>
        <v>-10069.3</v>
      </c>
    </row>
    <row r="11" ht="20.05" customHeight="1">
      <c r="B11" s="31">
        <v>2017</v>
      </c>
      <c r="C11" s="18">
        <v>861.4</v>
      </c>
      <c r="D11" s="19"/>
      <c r="E11" s="19">
        <v>628.3</v>
      </c>
      <c r="F11" s="19">
        <v>-162.1</v>
      </c>
      <c r="G11" s="19">
        <v>-1</v>
      </c>
      <c r="H11" s="19">
        <v>-554.8</v>
      </c>
      <c r="I11" s="19">
        <v>0</v>
      </c>
      <c r="J11" s="19">
        <v>0</v>
      </c>
      <c r="K11" s="19">
        <v>-1.5</v>
      </c>
      <c r="L11" s="19">
        <v>-47.7</v>
      </c>
      <c r="M11" s="19">
        <v>-604.9</v>
      </c>
      <c r="N11" s="19">
        <f>H11+E11+F11</f>
        <v>-88.59999999999999</v>
      </c>
      <c r="O11" s="19">
        <f>AVERAGE(N8:N11)</f>
        <v>-226.225</v>
      </c>
      <c r="P11" s="19">
        <f>-(K11+L11)+P10</f>
        <v>-10020.1</v>
      </c>
    </row>
    <row r="12" ht="20.05" customHeight="1">
      <c r="B12" s="35"/>
      <c r="C12" s="18">
        <v>1637.3</v>
      </c>
      <c r="D12" s="19"/>
      <c r="E12" s="19">
        <v>1322.7</v>
      </c>
      <c r="F12" s="19">
        <v>-646.6</v>
      </c>
      <c r="G12" s="19">
        <v>-2</v>
      </c>
      <c r="H12" s="19">
        <v>-427.1</v>
      </c>
      <c r="I12" s="19">
        <v>0</v>
      </c>
      <c r="J12" s="19">
        <v>0</v>
      </c>
      <c r="K12" s="19">
        <v>383.9</v>
      </c>
      <c r="L12" s="19">
        <v>-665</v>
      </c>
      <c r="M12" s="19">
        <v>-710.3</v>
      </c>
      <c r="N12" s="19">
        <f>H12+E12+F12</f>
        <v>249</v>
      </c>
      <c r="O12" s="19">
        <f>AVERAGE(N9:N12)</f>
        <v>110.475</v>
      </c>
      <c r="P12" s="19">
        <f>-(K12+L12)+P11</f>
        <v>-9739</v>
      </c>
    </row>
    <row r="13" ht="20.05" customHeight="1">
      <c r="B13" s="35"/>
      <c r="C13" s="18">
        <v>515.1</v>
      </c>
      <c r="D13" s="19"/>
      <c r="E13" s="19">
        <v>396.9</v>
      </c>
      <c r="F13" s="19">
        <v>-443.7</v>
      </c>
      <c r="G13" s="19">
        <v>-0.7</v>
      </c>
      <c r="H13" s="19">
        <v>-584.3</v>
      </c>
      <c r="I13" s="19">
        <v>0</v>
      </c>
      <c r="J13" s="19">
        <v>0</v>
      </c>
      <c r="K13" s="19">
        <v>646.8</v>
      </c>
      <c r="L13" s="19">
        <v>0</v>
      </c>
      <c r="M13" s="19">
        <v>61.8</v>
      </c>
      <c r="N13" s="19">
        <f>H13+E13+F13</f>
        <v>-631.1</v>
      </c>
      <c r="O13" s="19">
        <f>AVERAGE(N10:N13)</f>
        <v>66.075</v>
      </c>
      <c r="P13" s="19">
        <f>-(K13+L13)+P12</f>
        <v>-10385.8</v>
      </c>
    </row>
    <row r="14" ht="20.05" customHeight="1">
      <c r="B14" s="35"/>
      <c r="C14" s="18">
        <v>945</v>
      </c>
      <c r="D14" s="19">
        <f>AVERAGE(C11:C14)</f>
        <v>989.7</v>
      </c>
      <c r="E14" s="19">
        <v>838</v>
      </c>
      <c r="F14" s="19">
        <v>-538</v>
      </c>
      <c r="G14" s="19">
        <v>-0.9</v>
      </c>
      <c r="H14" s="19">
        <v>-369.2</v>
      </c>
      <c r="I14" s="19">
        <v>0</v>
      </c>
      <c r="J14" s="19">
        <v>0</v>
      </c>
      <c r="K14" s="19">
        <v>277</v>
      </c>
      <c r="L14" s="19">
        <v>-8.6</v>
      </c>
      <c r="M14" s="19">
        <v>-101.7</v>
      </c>
      <c r="N14" s="19">
        <f>H14+E14+F14</f>
        <v>-69.2</v>
      </c>
      <c r="O14" s="19">
        <f>AVERAGE(N11:N14)</f>
        <v>-134.975</v>
      </c>
      <c r="P14" s="19">
        <f>-(K14+L14)+P13</f>
        <v>-10654.2</v>
      </c>
    </row>
    <row r="15" ht="20.05" customHeight="1">
      <c r="B15" s="31">
        <v>2018</v>
      </c>
      <c r="C15" s="18">
        <v>1999.7</v>
      </c>
      <c r="D15" s="19">
        <f>AVERAGE(C12:C15)</f>
        <v>1274.275</v>
      </c>
      <c r="E15" s="19">
        <v>1745.7</v>
      </c>
      <c r="F15" s="19">
        <v>-468.6</v>
      </c>
      <c r="G15" s="19">
        <v>-4.6</v>
      </c>
      <c r="H15" s="19">
        <v>-512.6</v>
      </c>
      <c r="I15" s="19">
        <v>0</v>
      </c>
      <c r="J15" s="19">
        <v>0</v>
      </c>
      <c r="K15" s="19">
        <v>-223.1</v>
      </c>
      <c r="L15" s="19">
        <v>-19.7</v>
      </c>
      <c r="M15" s="19">
        <v>-760</v>
      </c>
      <c r="N15" s="19">
        <f>H15+E15+F15</f>
        <v>764.5</v>
      </c>
      <c r="O15" s="19">
        <f>AVERAGE(N12:N15)</f>
        <v>78.3</v>
      </c>
      <c r="P15" s="19">
        <f>-(K15+L15)+P14</f>
        <v>-10411.4</v>
      </c>
    </row>
    <row r="16" ht="20.05" customHeight="1">
      <c r="B16" s="35"/>
      <c r="C16" s="18">
        <v>784.9</v>
      </c>
      <c r="D16" s="19">
        <f>AVERAGE(C13:C16)</f>
        <v>1061.175</v>
      </c>
      <c r="E16" s="19">
        <v>379.2</v>
      </c>
      <c r="F16" s="19">
        <v>-602.9</v>
      </c>
      <c r="G16" s="19">
        <v>2.9</v>
      </c>
      <c r="H16" s="19">
        <v>-464.6</v>
      </c>
      <c r="I16" s="19">
        <v>0</v>
      </c>
      <c r="J16" s="19">
        <v>1014.9</v>
      </c>
      <c r="K16" s="19">
        <v>593.9</v>
      </c>
      <c r="L16" s="19">
        <v>-1154.4</v>
      </c>
      <c r="M16" s="19">
        <v>-7.3</v>
      </c>
      <c r="N16" s="19">
        <f>H16+E16+F16</f>
        <v>-688.3</v>
      </c>
      <c r="O16" s="19">
        <f>AVERAGE(N13:N16)</f>
        <v>-156.025</v>
      </c>
      <c r="P16" s="19">
        <f>-(K16+L16)+P15</f>
        <v>-9850.9</v>
      </c>
    </row>
    <row r="17" ht="20.05" customHeight="1">
      <c r="B17" s="35"/>
      <c r="C17" s="18">
        <v>621.2</v>
      </c>
      <c r="D17" s="19">
        <f>AVERAGE(C14:C17)</f>
        <v>1087.7</v>
      </c>
      <c r="E17" s="19">
        <v>488.6</v>
      </c>
      <c r="F17" s="19">
        <v>-594.5</v>
      </c>
      <c r="G17" s="19">
        <v>-1.9</v>
      </c>
      <c r="H17" s="19">
        <v>-632.1</v>
      </c>
      <c r="I17" s="19">
        <v>0</v>
      </c>
      <c r="J17" s="19">
        <v>0</v>
      </c>
      <c r="K17" s="19">
        <v>371.2</v>
      </c>
      <c r="L17" s="19">
        <v>-42.2</v>
      </c>
      <c r="M17" s="19">
        <v>-305</v>
      </c>
      <c r="N17" s="19">
        <f>H17+E17+F17</f>
        <v>-738</v>
      </c>
      <c r="O17" s="19">
        <f>AVERAGE(N14:N17)</f>
        <v>-182.75</v>
      </c>
      <c r="P17" s="19">
        <f>-(K17+L17)+P16</f>
        <v>-10179.9</v>
      </c>
    </row>
    <row r="18" ht="20.05" customHeight="1">
      <c r="B18" s="35"/>
      <c r="C18" s="18">
        <v>913.9</v>
      </c>
      <c r="D18" s="19">
        <f>AVERAGE(C15:C18)</f>
        <v>1079.925</v>
      </c>
      <c r="E18" s="19">
        <v>626.5</v>
      </c>
      <c r="F18" s="19">
        <v>-538.9</v>
      </c>
      <c r="G18" s="19">
        <v>-1.2</v>
      </c>
      <c r="H18" s="19">
        <v>-373.7</v>
      </c>
      <c r="I18" s="19">
        <v>0</v>
      </c>
      <c r="J18" s="19">
        <v>0</v>
      </c>
      <c r="K18" s="19">
        <v>285.4</v>
      </c>
      <c r="L18" s="19">
        <v>-67.40000000000001</v>
      </c>
      <c r="M18" s="19">
        <v>-156.9</v>
      </c>
      <c r="N18" s="19">
        <f>H18+E18+F18</f>
        <v>-286.1</v>
      </c>
      <c r="O18" s="19">
        <f>AVERAGE(N15:N18)</f>
        <v>-236.975</v>
      </c>
      <c r="P18" s="19">
        <f>-(K18+L18)+P17</f>
        <v>-10397.9</v>
      </c>
    </row>
    <row r="19" ht="20.05" customHeight="1">
      <c r="B19" s="31">
        <v>2019</v>
      </c>
      <c r="C19" s="18">
        <v>1988</v>
      </c>
      <c r="D19" s="19">
        <f>AVERAGE(C16:C19)</f>
        <v>1077</v>
      </c>
      <c r="E19" s="19">
        <v>1478.3</v>
      </c>
      <c r="F19" s="19">
        <v>-287</v>
      </c>
      <c r="G19" s="19">
        <v>-2</v>
      </c>
      <c r="H19" s="19">
        <v>-567.8</v>
      </c>
      <c r="I19" s="19">
        <v>0</v>
      </c>
      <c r="J19" s="19">
        <v>0</v>
      </c>
      <c r="K19" s="19">
        <v>-568.8</v>
      </c>
      <c r="L19" s="19">
        <v>-36.2</v>
      </c>
      <c r="M19" s="19">
        <v>-1174.7</v>
      </c>
      <c r="N19" s="19">
        <f>H19+E19+F19</f>
        <v>623.5</v>
      </c>
      <c r="O19" s="19">
        <f>AVERAGE(N16:N19)</f>
        <v>-272.225</v>
      </c>
      <c r="P19" s="19">
        <f>-(K19+L19)+P18</f>
        <v>-9792.9</v>
      </c>
    </row>
    <row r="20" ht="20.05" customHeight="1">
      <c r="B20" s="35"/>
      <c r="C20" s="18">
        <v>1017.2</v>
      </c>
      <c r="D20" s="19">
        <f>AVERAGE(C17:C20)</f>
        <v>1135.075</v>
      </c>
      <c r="E20" s="19">
        <v>1047.5</v>
      </c>
      <c r="F20" s="19">
        <v>-814.5</v>
      </c>
      <c r="G20" s="19">
        <v>-1.3</v>
      </c>
      <c r="H20" s="19">
        <v>-413.5</v>
      </c>
      <c r="I20" s="19">
        <v>1.2</v>
      </c>
      <c r="J20" s="19">
        <v>0</v>
      </c>
      <c r="K20" s="19">
        <v>859.7</v>
      </c>
      <c r="L20" s="19">
        <v>-615.9</v>
      </c>
      <c r="M20" s="19">
        <v>-169.9</v>
      </c>
      <c r="N20" s="19">
        <f>H20+E20+F20</f>
        <v>-180.5</v>
      </c>
      <c r="O20" s="19">
        <f>AVERAGE(N17:N20)</f>
        <v>-145.275</v>
      </c>
      <c r="P20" s="19">
        <f>-(K20+L20)+P19</f>
        <v>-10036.7</v>
      </c>
    </row>
    <row r="21" ht="20.05" customHeight="1">
      <c r="B21" s="35"/>
      <c r="C21" s="18">
        <v>1505</v>
      </c>
      <c r="D21" s="19">
        <f>AVERAGE(C18:C21)</f>
        <v>1356.025</v>
      </c>
      <c r="E21" s="19">
        <v>887.2</v>
      </c>
      <c r="F21" s="19">
        <v>-638.2</v>
      </c>
      <c r="G21" s="19">
        <v>-1.8</v>
      </c>
      <c r="H21" s="19">
        <v>-687.6</v>
      </c>
      <c r="I21" s="19">
        <v>0</v>
      </c>
      <c r="J21" s="19">
        <v>452.7</v>
      </c>
      <c r="K21" s="19">
        <v>-19.1</v>
      </c>
      <c r="L21" s="19">
        <v>31</v>
      </c>
      <c r="M21" s="19">
        <v>-224.8</v>
      </c>
      <c r="N21" s="19">
        <f>H21+E21+F21</f>
        <v>-438.6</v>
      </c>
      <c r="O21" s="19">
        <f>AVERAGE(N18:N21)</f>
        <v>-70.425</v>
      </c>
      <c r="P21" s="19">
        <f>-(K21+L21)+P20</f>
        <v>-10048.6</v>
      </c>
    </row>
    <row r="22" ht="20.05" customHeight="1">
      <c r="B22" s="35"/>
      <c r="C22" s="18">
        <v>311.9</v>
      </c>
      <c r="D22" s="19">
        <f>AVERAGE(C19:C22)</f>
        <v>1205.525</v>
      </c>
      <c r="E22" s="19">
        <v>278.4</v>
      </c>
      <c r="F22" s="19">
        <v>3779.2</v>
      </c>
      <c r="G22" s="19">
        <v>-1.2</v>
      </c>
      <c r="H22" s="19">
        <v>-436.9</v>
      </c>
      <c r="I22" s="19">
        <v>0</v>
      </c>
      <c r="J22" s="19">
        <v>0</v>
      </c>
      <c r="K22" s="19">
        <v>668.1</v>
      </c>
      <c r="L22" s="19">
        <v>-0.3</v>
      </c>
      <c r="M22" s="19">
        <v>229.7</v>
      </c>
      <c r="N22" s="19">
        <f>H22+E22+F22</f>
        <v>3620.7</v>
      </c>
      <c r="O22" s="19">
        <f>AVERAGE(N19:N22)</f>
        <v>906.275</v>
      </c>
      <c r="P22" s="19">
        <f>-(K22+L22)+P21</f>
        <v>-10716.4</v>
      </c>
    </row>
    <row r="23" ht="20.05" customHeight="1">
      <c r="B23" s="31">
        <v>2020</v>
      </c>
      <c r="C23" s="18">
        <v>2249.1</v>
      </c>
      <c r="D23" s="19">
        <f>AVERAGE(C20:C23)</f>
        <v>1270.8</v>
      </c>
      <c r="E23" s="19">
        <v>1982.1</v>
      </c>
      <c r="F23" s="19">
        <v>-801.2</v>
      </c>
      <c r="G23" s="19">
        <v>-1.1</v>
      </c>
      <c r="H23" s="19">
        <v>-616.8</v>
      </c>
      <c r="I23" s="19">
        <v>0</v>
      </c>
      <c r="J23" s="19">
        <v>439.6</v>
      </c>
      <c r="K23" s="19">
        <v>-779.2</v>
      </c>
      <c r="L23" s="19">
        <v>0</v>
      </c>
      <c r="M23" s="19">
        <v>-957.4</v>
      </c>
      <c r="N23" s="19">
        <f>H23+G23+E23+F23</f>
        <v>563</v>
      </c>
      <c r="O23" s="19">
        <f>AVERAGE(N20:N23)</f>
        <v>891.15</v>
      </c>
      <c r="P23" s="19">
        <f>-(K23+L23)+P22</f>
        <v>-9937.200000000001</v>
      </c>
    </row>
    <row r="24" ht="20.05" customHeight="1">
      <c r="B24" s="35"/>
      <c r="C24" s="18">
        <v>710.4</v>
      </c>
      <c r="D24" s="19">
        <f>AVERAGE(C21:C24)</f>
        <v>1194.1</v>
      </c>
      <c r="E24" s="19">
        <v>352.8</v>
      </c>
      <c r="F24" s="19">
        <v>-475.9</v>
      </c>
      <c r="G24" s="19">
        <v>-9.6</v>
      </c>
      <c r="H24" s="19">
        <v>-329.4</v>
      </c>
      <c r="I24" s="19">
        <v>0</v>
      </c>
      <c r="J24" s="19">
        <v>0</v>
      </c>
      <c r="K24" s="19">
        <v>1078.5</v>
      </c>
      <c r="L24" s="19">
        <v>-611.3</v>
      </c>
      <c r="M24" s="19">
        <v>128.2</v>
      </c>
      <c r="N24" s="19">
        <f>H24+G24+E24+F24</f>
        <v>-462.1</v>
      </c>
      <c r="O24" s="19">
        <f>AVERAGE(N21:N24)</f>
        <v>820.75</v>
      </c>
      <c r="P24" s="19">
        <f>-(K24+L24)+P23</f>
        <v>-10404.4</v>
      </c>
    </row>
    <row r="25" ht="20.05" customHeight="1">
      <c r="B25" s="35"/>
      <c r="C25" s="18">
        <v>1550.7</v>
      </c>
      <c r="D25" s="19">
        <f>AVERAGE(C22:C25)</f>
        <v>1205.525</v>
      </c>
      <c r="E25" s="19">
        <v>1078.1</v>
      </c>
      <c r="F25" s="19">
        <v>-462.6</v>
      </c>
      <c r="G25" s="19">
        <v>-4.9</v>
      </c>
      <c r="H25" s="19">
        <v>-626.5</v>
      </c>
      <c r="I25" s="19">
        <v>0</v>
      </c>
      <c r="J25" s="19">
        <v>0</v>
      </c>
      <c r="K25" s="19">
        <v>-178.4</v>
      </c>
      <c r="L25" s="19">
        <v>-5.5</v>
      </c>
      <c r="M25" s="19">
        <v>-815.4</v>
      </c>
      <c r="N25" s="19">
        <f>H25+G25+E25+F25</f>
        <v>-15.9</v>
      </c>
      <c r="O25" s="19">
        <f>AVERAGE(N22:N25)</f>
        <v>926.425</v>
      </c>
      <c r="P25" s="19">
        <f>-(K25+L25)+P24</f>
        <v>-10220.5</v>
      </c>
    </row>
    <row r="26" ht="20.05" customHeight="1">
      <c r="B26" s="35"/>
      <c r="C26" s="18">
        <v>819.7</v>
      </c>
      <c r="D26" s="19">
        <f>AVERAGE(C23:C26)</f>
        <v>1332.475</v>
      </c>
      <c r="E26" s="19">
        <v>373.5</v>
      </c>
      <c r="F26" s="19">
        <v>-312.2</v>
      </c>
      <c r="G26" s="19">
        <v>-15</v>
      </c>
      <c r="H26" s="19">
        <v>-202.7</v>
      </c>
      <c r="I26" s="19">
        <v>0</v>
      </c>
      <c r="J26" s="19">
        <v>0</v>
      </c>
      <c r="K26" s="19">
        <v>545.7</v>
      </c>
      <c r="L26" s="19">
        <v>0</v>
      </c>
      <c r="M26" s="19">
        <v>328</v>
      </c>
      <c r="N26" s="19">
        <f>H26+G26+E26+F26</f>
        <v>-156.4</v>
      </c>
      <c r="O26" s="19">
        <f>AVERAGE(N23:N26)</f>
        <v>-17.85</v>
      </c>
      <c r="P26" s="19">
        <f>-(K26+L26)+P25</f>
        <v>-10766.2</v>
      </c>
    </row>
    <row r="27" ht="20.05" customHeight="1">
      <c r="B27" s="31">
        <v>2021</v>
      </c>
      <c r="C27" s="18">
        <v>2262</v>
      </c>
      <c r="D27" s="19">
        <f>AVERAGE(C24:C27)</f>
        <v>1335.7</v>
      </c>
      <c r="E27" s="19">
        <v>1753.8</v>
      </c>
      <c r="F27" s="19">
        <v>-904.3</v>
      </c>
      <c r="G27" s="19">
        <v>-10.2</v>
      </c>
      <c r="H27" s="19">
        <v>-635.8</v>
      </c>
      <c r="I27" s="19">
        <v>0</v>
      </c>
      <c r="J27" s="19">
        <v>0</v>
      </c>
      <c r="K27" s="19">
        <v>3946.3</v>
      </c>
      <c r="L27" s="19">
        <v>0</v>
      </c>
      <c r="M27" s="19">
        <v>3300.3</v>
      </c>
      <c r="N27" s="19">
        <f>H27+G27+E27+F27</f>
        <v>203.5</v>
      </c>
      <c r="O27" s="19">
        <f>AVERAGE(N24:N27)</f>
        <v>-107.725</v>
      </c>
      <c r="P27" s="19">
        <f>-(K27+L27)+P26</f>
        <v>-14712.5</v>
      </c>
    </row>
    <row r="28" ht="20.05" customHeight="1">
      <c r="B28" s="35"/>
      <c r="C28" s="18">
        <v>2060.9</v>
      </c>
      <c r="D28" s="19">
        <f>AVERAGE(C25:C28)</f>
        <v>1673.325</v>
      </c>
      <c r="E28" s="19">
        <v>1228.6</v>
      </c>
      <c r="F28" s="19">
        <v>-4429.2</v>
      </c>
      <c r="G28" s="19">
        <v>-15.7</v>
      </c>
      <c r="H28" s="19">
        <v>-546.6</v>
      </c>
      <c r="I28" s="19">
        <v>221.4</v>
      </c>
      <c r="J28" s="19">
        <v>343.3</v>
      </c>
      <c r="K28" s="19">
        <v>-308.5</v>
      </c>
      <c r="L28" s="19">
        <v>-706.4</v>
      </c>
      <c r="M28" s="19">
        <v>-1012.5</v>
      </c>
      <c r="N28" s="19">
        <f>H28+G28+E28+F28</f>
        <v>-3762.9</v>
      </c>
      <c r="O28" s="19">
        <f>AVERAGE(N25:N28)</f>
        <v>-932.925</v>
      </c>
      <c r="P28" s="19">
        <f>-(K28+L28)+P27</f>
        <v>-13697.6</v>
      </c>
    </row>
    <row r="29" ht="20.05" customHeight="1">
      <c r="B29" s="35"/>
      <c r="C29" s="18">
        <v>1142.8</v>
      </c>
      <c r="D29" s="19">
        <f>AVERAGE(C26:C29)</f>
        <v>1571.35</v>
      </c>
      <c r="E29" s="19">
        <v>700</v>
      </c>
      <c r="F29" s="19">
        <v>-543.3</v>
      </c>
      <c r="G29" s="19">
        <v>-17.6</v>
      </c>
      <c r="H29" s="19">
        <v>-557.2</v>
      </c>
      <c r="I29" s="19">
        <v>5.5</v>
      </c>
      <c r="J29" s="19">
        <v>0</v>
      </c>
      <c r="K29" s="19">
        <v>371.5</v>
      </c>
      <c r="L29" s="19">
        <v>-6.7</v>
      </c>
      <c r="M29" s="19">
        <v>-204.5</v>
      </c>
      <c r="N29" s="19">
        <f>H29+G29+E29+F29</f>
        <v>-418.1</v>
      </c>
      <c r="O29" s="19">
        <f>AVERAGE(N26:N29)</f>
        <v>-1033.475</v>
      </c>
      <c r="P29" s="19">
        <f>-(K29+L29)+P28</f>
        <v>-14062.4</v>
      </c>
    </row>
    <row r="30" ht="20.05" customHeight="1">
      <c r="B30" s="35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>
        <f>SUM('Model'!F11:F13)</f>
        <v>109.260939690430</v>
      </c>
      <c r="P30" s="19">
        <f>'Model'!F33</f>
        <v>-13678.38316473</v>
      </c>
    </row>
  </sheetData>
  <mergeCells count="1">
    <mergeCell ref="B2:P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7.2422" style="40" customWidth="1"/>
    <col min="2" max="11" width="10.0234" style="40" customWidth="1"/>
    <col min="12" max="16384" width="16.3516" style="40" customWidth="1"/>
  </cols>
  <sheetData>
    <row r="1" ht="116.2" customHeight="1"/>
    <row r="2" ht="27.65" customHeight="1">
      <c r="B2" t="s" s="2">
        <v>53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5">
        <v>1</v>
      </c>
      <c r="C3" t="s" s="25">
        <v>54</v>
      </c>
      <c r="D3" t="s" s="25">
        <v>55</v>
      </c>
      <c r="E3" t="s" s="25">
        <v>23</v>
      </c>
      <c r="F3" t="s" s="25">
        <v>24</v>
      </c>
      <c r="G3" t="s" s="25">
        <v>14</v>
      </c>
      <c r="H3" t="s" s="25">
        <v>15</v>
      </c>
      <c r="I3" t="s" s="25">
        <v>26</v>
      </c>
      <c r="J3" t="s" s="25">
        <v>56</v>
      </c>
      <c r="K3" t="s" s="25">
        <v>35</v>
      </c>
    </row>
    <row r="4" ht="21.1" customHeight="1">
      <c r="B4" s="26">
        <v>2009</v>
      </c>
      <c r="C4" s="38">
        <v>48</v>
      </c>
      <c r="D4" s="29">
        <v>1862</v>
      </c>
      <c r="E4" s="29">
        <f>D4-C4</f>
        <v>1814</v>
      </c>
      <c r="F4" s="29"/>
      <c r="G4" s="29">
        <v>1320</v>
      </c>
      <c r="H4" s="29">
        <v>542</v>
      </c>
      <c r="I4" s="29">
        <f>G4+H4-C4-E4</f>
        <v>0</v>
      </c>
      <c r="J4" s="29">
        <f>C4-G4</f>
        <v>-1272</v>
      </c>
      <c r="K4" s="29"/>
    </row>
    <row r="5" ht="21.1" customHeight="1">
      <c r="B5" s="31">
        <v>2010</v>
      </c>
      <c r="C5" s="18">
        <v>1047</v>
      </c>
      <c r="D5" s="19">
        <v>5176</v>
      </c>
      <c r="E5" s="19">
        <f>D5-C5</f>
        <v>4129</v>
      </c>
      <c r="F5" s="19">
        <v>33</v>
      </c>
      <c r="G5" s="19">
        <v>2858</v>
      </c>
      <c r="H5" s="19">
        <v>2318</v>
      </c>
      <c r="I5" s="19">
        <f>G5+H5-C5-E5</f>
        <v>0</v>
      </c>
      <c r="J5" s="19">
        <f>C5-G5</f>
        <v>-1811</v>
      </c>
      <c r="K5" s="19"/>
    </row>
    <row r="6" ht="21.1" customHeight="1">
      <c r="B6" s="31">
        <v>2011</v>
      </c>
      <c r="C6" s="18">
        <v>500</v>
      </c>
      <c r="D6" s="19">
        <v>6880</v>
      </c>
      <c r="E6" s="19">
        <f>D6-C6</f>
        <v>6380</v>
      </c>
      <c r="F6" s="19">
        <v>53</v>
      </c>
      <c r="G6" s="19">
        <v>4175</v>
      </c>
      <c r="H6" s="19">
        <v>2705</v>
      </c>
      <c r="I6" s="19">
        <f>G6+H6-C6-E6</f>
        <v>0</v>
      </c>
      <c r="J6" s="19">
        <f>C6-G6</f>
        <v>-3675</v>
      </c>
      <c r="K6" s="19"/>
    </row>
    <row r="7" ht="21.1" customHeight="1">
      <c r="B7" s="31">
        <v>2012</v>
      </c>
      <c r="C7" s="18">
        <v>507</v>
      </c>
      <c r="D7" s="19">
        <v>14317</v>
      </c>
      <c r="E7" s="19">
        <f>D7-C7</f>
        <v>13810</v>
      </c>
      <c r="F7" s="19">
        <v>66</v>
      </c>
      <c r="G7" s="19">
        <v>10072</v>
      </c>
      <c r="H7" s="19">
        <v>4245</v>
      </c>
      <c r="I7" s="19">
        <f>G7+H7-C7-E7</f>
        <v>0</v>
      </c>
      <c r="J7" s="19">
        <f>C7-G7</f>
        <v>-9565</v>
      </c>
      <c r="K7" s="19"/>
    </row>
    <row r="8" ht="21.1" customHeight="1">
      <c r="B8" s="31">
        <v>2013</v>
      </c>
      <c r="C8" s="18">
        <v>647</v>
      </c>
      <c r="D8" s="19">
        <v>18411</v>
      </c>
      <c r="E8" s="19">
        <f>D8-C8</f>
        <v>17764</v>
      </c>
      <c r="F8" s="19">
        <v>90</v>
      </c>
      <c r="G8" s="19">
        <v>15691</v>
      </c>
      <c r="H8" s="19">
        <v>2720</v>
      </c>
      <c r="I8" s="19">
        <f>G8+H8-C8-E8</f>
        <v>0</v>
      </c>
      <c r="J8" s="19">
        <f>C8-G8</f>
        <v>-15044</v>
      </c>
      <c r="K8" s="19"/>
    </row>
    <row r="9" ht="20.9" customHeight="1">
      <c r="B9" s="31">
        <v>2014</v>
      </c>
      <c r="C9" s="18">
        <v>901</v>
      </c>
      <c r="D9" s="19">
        <v>21629</v>
      </c>
      <c r="E9" s="19">
        <f>D9-C9</f>
        <v>20728</v>
      </c>
      <c r="F9" s="19">
        <v>125</v>
      </c>
      <c r="G9" s="19">
        <v>19525</v>
      </c>
      <c r="H9" s="19">
        <v>2104</v>
      </c>
      <c r="I9" s="19">
        <f>G9+H9-C9-E9</f>
        <v>0</v>
      </c>
      <c r="J9" s="19">
        <f>C9-G9</f>
        <v>-18624</v>
      </c>
      <c r="K9" s="19"/>
    </row>
    <row r="10" ht="20.9" customHeight="1">
      <c r="B10" s="31">
        <v>2015</v>
      </c>
      <c r="C10" s="18">
        <v>296</v>
      </c>
      <c r="D10" s="19">
        <v>22800</v>
      </c>
      <c r="E10" s="19">
        <f>D10-C10</f>
        <v>22504</v>
      </c>
      <c r="F10" s="19">
        <v>147</v>
      </c>
      <c r="G10" s="19">
        <v>21209</v>
      </c>
      <c r="H10" s="19">
        <v>1591</v>
      </c>
      <c r="I10" s="19">
        <f>G10+H10-C10-E10</f>
        <v>0</v>
      </c>
      <c r="J10" s="19">
        <f>C10-G10</f>
        <v>-20913</v>
      </c>
      <c r="K10" s="19"/>
    </row>
    <row r="11" ht="20.9" customHeight="1">
      <c r="B11" s="31">
        <v>2016</v>
      </c>
      <c r="C11" s="18">
        <v>365</v>
      </c>
      <c r="D11" s="19">
        <v>23620</v>
      </c>
      <c r="E11" s="19">
        <f>D11-C11</f>
        <v>23255</v>
      </c>
      <c r="F11" s="19">
        <v>181</v>
      </c>
      <c r="G11" s="19">
        <v>21996</v>
      </c>
      <c r="H11" s="19">
        <v>1624</v>
      </c>
      <c r="I11" s="19">
        <f>G11+H11-C11-E11</f>
        <v>0</v>
      </c>
      <c r="J11" s="19">
        <f>C11-G11</f>
        <v>-21631</v>
      </c>
      <c r="K11" s="19"/>
    </row>
    <row r="12" ht="20.9" customHeight="1">
      <c r="B12" s="31">
        <v>2017</v>
      </c>
      <c r="C12" s="18">
        <v>407</v>
      </c>
      <c r="D12" s="19">
        <v>25596</v>
      </c>
      <c r="E12" s="19">
        <f>D12-C12</f>
        <v>25189</v>
      </c>
      <c r="F12" s="19">
        <v>202</v>
      </c>
      <c r="G12" s="19">
        <v>22411</v>
      </c>
      <c r="H12" s="19">
        <v>3185</v>
      </c>
      <c r="I12" s="19">
        <f>G12+H12-C12-E12</f>
        <v>0</v>
      </c>
      <c r="J12" s="19">
        <f>C12-G12</f>
        <v>-22004</v>
      </c>
      <c r="K12" s="19"/>
    </row>
    <row r="13" ht="20.9" customHeight="1">
      <c r="B13" s="31">
        <v>2018</v>
      </c>
      <c r="C13" s="18">
        <v>926</v>
      </c>
      <c r="D13" s="19">
        <v>26669</v>
      </c>
      <c r="E13" s="19">
        <f>D13-C13</f>
        <v>25743</v>
      </c>
      <c r="F13" s="19">
        <v>214</v>
      </c>
      <c r="G13" s="19">
        <v>23455.7</v>
      </c>
      <c r="H13" s="19">
        <v>3213</v>
      </c>
      <c r="I13" s="19">
        <f>G13+H13-C13-E13</f>
        <v>-0.3</v>
      </c>
      <c r="J13" s="19">
        <f>C13-G13</f>
        <v>-22529.7</v>
      </c>
      <c r="K13" s="19"/>
    </row>
    <row r="14" ht="20.9" customHeight="1">
      <c r="B14" s="35"/>
      <c r="C14" s="18">
        <v>700</v>
      </c>
      <c r="D14" s="19">
        <v>27890</v>
      </c>
      <c r="E14" s="19">
        <f>D14-C14</f>
        <v>27190</v>
      </c>
      <c r="F14" s="19">
        <v>226</v>
      </c>
      <c r="G14" s="19">
        <v>24932</v>
      </c>
      <c r="H14" s="19">
        <v>2958</v>
      </c>
      <c r="I14" s="19">
        <f>G14+H14-C14-E14</f>
        <v>0</v>
      </c>
      <c r="J14" s="19">
        <f>C14-G14</f>
        <v>-24232</v>
      </c>
      <c r="K14" s="19"/>
    </row>
    <row r="15" ht="20.9" customHeight="1">
      <c r="B15" s="35"/>
      <c r="C15" s="18">
        <v>293</v>
      </c>
      <c r="D15" s="19">
        <v>28949</v>
      </c>
      <c r="E15" s="19">
        <f>D15-C15</f>
        <v>28656</v>
      </c>
      <c r="F15" s="19">
        <v>238</v>
      </c>
      <c r="G15" s="19">
        <v>25566</v>
      </c>
      <c r="H15" s="19">
        <v>3383</v>
      </c>
      <c r="I15" s="19">
        <f>G15+H15-C15-E15</f>
        <v>0</v>
      </c>
      <c r="J15" s="19">
        <f>C15-G15</f>
        <v>-25273</v>
      </c>
      <c r="K15" s="19"/>
    </row>
    <row r="16" ht="20.9" customHeight="1">
      <c r="B16" s="35"/>
      <c r="C16" s="18">
        <v>221</v>
      </c>
      <c r="D16" s="19">
        <v>29114</v>
      </c>
      <c r="E16" s="19">
        <f>D16-C16</f>
        <v>28893</v>
      </c>
      <c r="F16" s="19">
        <v>250</v>
      </c>
      <c r="G16" s="19">
        <v>25434</v>
      </c>
      <c r="H16" s="19">
        <v>3680</v>
      </c>
      <c r="I16" s="19">
        <f>G16+H16-C16-E16</f>
        <v>0</v>
      </c>
      <c r="J16" s="19">
        <f>C16-G16</f>
        <v>-25213</v>
      </c>
      <c r="K16" s="19"/>
    </row>
    <row r="17" ht="20.9" customHeight="1">
      <c r="B17" s="31">
        <v>2019</v>
      </c>
      <c r="C17" s="18">
        <v>235</v>
      </c>
      <c r="D17" s="19">
        <v>29131</v>
      </c>
      <c r="E17" s="19">
        <f>D17-C17</f>
        <v>28896</v>
      </c>
      <c r="F17" s="19">
        <v>262</v>
      </c>
      <c r="G17" s="19">
        <v>25253</v>
      </c>
      <c r="H17" s="19">
        <v>3878</v>
      </c>
      <c r="I17" s="19">
        <f>G17+H17-C17-E17</f>
        <v>0</v>
      </c>
      <c r="J17" s="19">
        <f>C17-G17</f>
        <v>-25018</v>
      </c>
      <c r="K17" s="19"/>
    </row>
    <row r="18" ht="20.9" customHeight="1">
      <c r="B18" s="35"/>
      <c r="C18" s="18">
        <v>296</v>
      </c>
      <c r="D18" s="19">
        <v>29283</v>
      </c>
      <c r="E18" s="19">
        <f>D18-C18</f>
        <v>28987</v>
      </c>
      <c r="F18" s="19">
        <v>275</v>
      </c>
      <c r="G18" s="19">
        <v>25940</v>
      </c>
      <c r="H18" s="19">
        <v>3343</v>
      </c>
      <c r="I18" s="19">
        <f>G18+H18-C18-E18</f>
        <v>0</v>
      </c>
      <c r="J18" s="19">
        <f>C18-G18</f>
        <v>-25644</v>
      </c>
      <c r="K18" s="19"/>
    </row>
    <row r="19" ht="20.9" customHeight="1">
      <c r="B19" s="35"/>
      <c r="C19" s="18">
        <v>333</v>
      </c>
      <c r="D19" s="19">
        <v>29438</v>
      </c>
      <c r="E19" s="19">
        <f>D19-C19</f>
        <v>29105</v>
      </c>
      <c r="F19" s="19">
        <v>286</v>
      </c>
      <c r="G19" s="19">
        <v>25426</v>
      </c>
      <c r="H19" s="19">
        <v>4012</v>
      </c>
      <c r="I19" s="19">
        <f>G19+H19-C19-E19</f>
        <v>0</v>
      </c>
      <c r="J19" s="19">
        <f>C19-G19</f>
        <v>-25093</v>
      </c>
      <c r="K19" s="22"/>
    </row>
    <row r="20" ht="20.9" customHeight="1">
      <c r="B20" s="35"/>
      <c r="C20" s="18">
        <v>525</v>
      </c>
      <c r="D20" s="19">
        <v>30872</v>
      </c>
      <c r="E20" s="19">
        <f>D20-C20</f>
        <v>30347</v>
      </c>
      <c r="F20" s="19">
        <f>298+1581</f>
        <v>1879</v>
      </c>
      <c r="G20" s="19">
        <v>25349</v>
      </c>
      <c r="H20" s="19">
        <v>5523</v>
      </c>
      <c r="I20" s="19">
        <f>G20+H20-C20-E20</f>
        <v>0</v>
      </c>
      <c r="J20" s="19">
        <f>C20-G20</f>
        <v>-24824</v>
      </c>
      <c r="K20" s="22"/>
    </row>
    <row r="21" ht="20.9" customHeight="1">
      <c r="B21" s="31">
        <v>2020</v>
      </c>
      <c r="C21" s="18">
        <v>798</v>
      </c>
      <c r="D21" s="19">
        <v>34060</v>
      </c>
      <c r="E21" s="19">
        <f>D21-C21</f>
        <v>33262</v>
      </c>
      <c r="F21" s="19">
        <f>311+1306</f>
        <v>1617</v>
      </c>
      <c r="G21" s="19">
        <v>29037</v>
      </c>
      <c r="H21" s="19">
        <v>5023</v>
      </c>
      <c r="I21" s="19">
        <f>G21+H21-C21-E21</f>
        <v>0</v>
      </c>
      <c r="J21" s="19">
        <f>C21-G21</f>
        <v>-28239</v>
      </c>
      <c r="K21" s="22"/>
    </row>
    <row r="22" ht="20.9" customHeight="1">
      <c r="B22" s="35"/>
      <c r="C22" s="18">
        <v>762</v>
      </c>
      <c r="D22" s="19">
        <v>34041</v>
      </c>
      <c r="E22" s="19">
        <f>D22-C22</f>
        <v>33279</v>
      </c>
      <c r="F22" s="19">
        <f>298+1403</f>
        <v>1701</v>
      </c>
      <c r="G22" s="19">
        <v>27798</v>
      </c>
      <c r="H22" s="19">
        <v>6243</v>
      </c>
      <c r="I22" s="19">
        <f>G22+H22-C22-E22</f>
        <v>0</v>
      </c>
      <c r="J22" s="19">
        <f>C22-G22</f>
        <v>-27036</v>
      </c>
      <c r="K22" s="19"/>
    </row>
    <row r="23" ht="20.9" customHeight="1">
      <c r="B23" s="35"/>
      <c r="C23" s="18">
        <v>574</v>
      </c>
      <c r="D23" s="19">
        <v>34266</v>
      </c>
      <c r="E23" s="19">
        <f>D23-C23</f>
        <v>33692</v>
      </c>
      <c r="F23" s="19">
        <f>230+1504</f>
        <v>1734</v>
      </c>
      <c r="G23" s="19">
        <v>27664</v>
      </c>
      <c r="H23" s="19">
        <v>6602</v>
      </c>
      <c r="I23" s="19">
        <f>G23+H23-C23-E23</f>
        <v>0</v>
      </c>
      <c r="J23" s="19">
        <f>C23-G23</f>
        <v>-27090</v>
      </c>
      <c r="K23" s="22"/>
    </row>
    <row r="24" ht="20.9" customHeight="1">
      <c r="B24" s="35"/>
      <c r="C24" s="18">
        <v>947</v>
      </c>
      <c r="D24" s="19">
        <v>36521</v>
      </c>
      <c r="E24" s="19">
        <f>D24-C24</f>
        <v>35574</v>
      </c>
      <c r="F24" s="19">
        <f>241+1581</f>
        <v>1822</v>
      </c>
      <c r="G24" s="19">
        <v>27217</v>
      </c>
      <c r="H24" s="19">
        <v>9304</v>
      </c>
      <c r="I24" s="19">
        <f>G24+H24-C24-E24</f>
        <v>0</v>
      </c>
      <c r="J24" s="19">
        <f>C24-G24</f>
        <v>-26270</v>
      </c>
      <c r="K24" s="22"/>
    </row>
    <row r="25" ht="20.9" customHeight="1">
      <c r="B25" s="31">
        <v>2021</v>
      </c>
      <c r="C25" s="18">
        <v>5110</v>
      </c>
      <c r="D25" s="19">
        <v>42297</v>
      </c>
      <c r="E25" s="19">
        <f>D25-C25</f>
        <v>37187</v>
      </c>
      <c r="F25" s="19">
        <f>252+1663</f>
        <v>1915</v>
      </c>
      <c r="G25" s="19">
        <v>32409</v>
      </c>
      <c r="H25" s="19">
        <v>9888</v>
      </c>
      <c r="I25" s="19">
        <f>G25+H25-C25-E25</f>
        <v>0</v>
      </c>
      <c r="J25" s="19">
        <f>C25-G25</f>
        <v>-27299</v>
      </c>
      <c r="K25" s="19"/>
    </row>
    <row r="26" ht="20.9" customHeight="1">
      <c r="B26" s="35"/>
      <c r="C26" s="18">
        <v>894</v>
      </c>
      <c r="D26" s="19">
        <v>41837</v>
      </c>
      <c r="E26" s="19">
        <f>D26-C26</f>
        <v>40943</v>
      </c>
      <c r="F26" s="19">
        <f>246+1762</f>
        <v>2008</v>
      </c>
      <c r="G26" s="19">
        <v>32619</v>
      </c>
      <c r="H26" s="19">
        <v>9218</v>
      </c>
      <c r="I26" s="19">
        <f>G26+H26-C26-E26</f>
        <v>0</v>
      </c>
      <c r="J26" s="19">
        <f>C26-G26</f>
        <v>-31725</v>
      </c>
      <c r="K26" s="22"/>
    </row>
    <row r="27" ht="20.9" customHeight="1">
      <c r="B27" s="35"/>
      <c r="C27" s="18">
        <v>842</v>
      </c>
      <c r="D27" s="19">
        <v>41585</v>
      </c>
      <c r="E27" s="19">
        <f>D27-C27</f>
        <v>40743</v>
      </c>
      <c r="F27" s="19">
        <f>232+1865</f>
        <v>2097</v>
      </c>
      <c r="G27" s="19">
        <v>31983</v>
      </c>
      <c r="H27" s="19">
        <v>9602</v>
      </c>
      <c r="I27" s="19">
        <f>G27+H27-C27-E27</f>
        <v>0</v>
      </c>
      <c r="J27" s="19">
        <f>C27-G27</f>
        <v>-31141</v>
      </c>
      <c r="K27" s="19">
        <f>J27</f>
        <v>-31141</v>
      </c>
    </row>
    <row r="28" ht="20.9" customHeight="1">
      <c r="B28" s="35"/>
      <c r="C28" s="18"/>
      <c r="D28" s="19"/>
      <c r="E28" s="19"/>
      <c r="F28" s="19"/>
      <c r="G28" s="19"/>
      <c r="H28" s="19"/>
      <c r="I28" s="19"/>
      <c r="J28" s="19"/>
      <c r="K28" s="19">
        <f>'Model'!F31</f>
        <v>-31024.228215311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H28"/>
  <sheetViews>
    <sheetView workbookViewId="0" showGridLines="0" defaultGridColor="1"/>
  </sheetViews>
  <sheetFormatPr defaultColWidth="8.33333" defaultRowHeight="19.9" customHeight="1" outlineLevelRow="0" outlineLevelCol="0"/>
  <cols>
    <col min="1" max="1" width="19.8984" style="41" customWidth="1"/>
    <col min="2" max="2" width="6.82031" style="41" customWidth="1"/>
    <col min="3" max="8" width="8.35156" style="41" customWidth="1"/>
    <col min="9" max="16384" width="8.35156" style="41" customWidth="1"/>
  </cols>
  <sheetData>
    <row r="1" ht="62.95" customHeight="1"/>
    <row r="2" ht="27.65" customHeight="1">
      <c r="B2" t="s" s="2">
        <v>57</v>
      </c>
      <c r="C2" s="2"/>
      <c r="D2" s="2"/>
      <c r="E2" s="2"/>
      <c r="F2" s="2"/>
      <c r="G2" s="2"/>
      <c r="H2" s="2"/>
    </row>
    <row r="3" ht="20.25" customHeight="1">
      <c r="B3" t="s" s="42">
        <v>58</v>
      </c>
      <c r="C3" t="s" s="42">
        <v>59</v>
      </c>
      <c r="D3" t="s" s="43">
        <v>60</v>
      </c>
      <c r="E3" s="44">
        <f>'Model'!F42</f>
        <v>21.6325878594249</v>
      </c>
      <c r="F3" s="44"/>
      <c r="G3" t="s" s="43">
        <v>61</v>
      </c>
      <c r="H3" t="s" s="43">
        <v>35</v>
      </c>
    </row>
    <row r="4" ht="20.25" customHeight="1">
      <c r="B4" s="45">
        <v>2016</v>
      </c>
      <c r="C4" s="46">
        <v>1165</v>
      </c>
      <c r="D4" s="47"/>
      <c r="E4" s="48">
        <f>C4*E$3</f>
        <v>25201.96485623</v>
      </c>
      <c r="F4" s="48">
        <f>SUM('Sales'!F4:F7)</f>
        <v>2539.7</v>
      </c>
      <c r="G4" s="48">
        <f>E4/F4</f>
        <v>9.92320544010316</v>
      </c>
      <c r="H4" s="47"/>
    </row>
    <row r="5" ht="20.05" customHeight="1">
      <c r="B5" s="49"/>
      <c r="C5" s="50">
        <v>1320</v>
      </c>
      <c r="D5" s="51"/>
      <c r="E5" s="52">
        <f>C5*E$3</f>
        <v>28555.0159744409</v>
      </c>
      <c r="F5" s="52">
        <f>SUM('Sales'!F5:F8)</f>
        <v>2941.9</v>
      </c>
      <c r="G5" s="52">
        <f>E5/F5</f>
        <v>9.706317677161319</v>
      </c>
      <c r="H5" s="51"/>
    </row>
    <row r="6" ht="20.05" customHeight="1">
      <c r="B6" s="49"/>
      <c r="C6" s="50">
        <v>1220</v>
      </c>
      <c r="D6" s="51"/>
      <c r="E6" s="52">
        <f>C6*E$3</f>
        <v>26391.7571884984</v>
      </c>
      <c r="F6" s="52">
        <f>SUM('Sales'!F6:F9)</f>
        <v>3894.6</v>
      </c>
      <c r="G6" s="52">
        <f>E6/F6</f>
        <v>6.77650007407652</v>
      </c>
      <c r="H6" s="51"/>
    </row>
    <row r="7" ht="20.05" customHeight="1">
      <c r="B7" s="49"/>
      <c r="C7" s="50">
        <v>996</v>
      </c>
      <c r="D7" s="51"/>
      <c r="E7" s="52">
        <f>C7*E$3</f>
        <v>21546.0575079872</v>
      </c>
      <c r="F7" s="52">
        <f>SUM('Sales'!F7:F10)</f>
        <v>3690.4</v>
      </c>
      <c r="G7" s="52">
        <f>E7/F7</f>
        <v>5.83840708540733</v>
      </c>
      <c r="H7" s="51"/>
    </row>
    <row r="8" ht="20.05" customHeight="1">
      <c r="B8" s="53">
        <v>2017</v>
      </c>
      <c r="C8" s="50">
        <v>1090</v>
      </c>
      <c r="D8" s="51"/>
      <c r="E8" s="52">
        <f>C8*E$3</f>
        <v>23579.5207667731</v>
      </c>
      <c r="F8" s="52">
        <f>SUM('Sales'!F8:F11)</f>
        <v>3113.4</v>
      </c>
      <c r="G8" s="52">
        <f>E8/F8</f>
        <v>7.57355969896997</v>
      </c>
      <c r="H8" s="51"/>
    </row>
    <row r="9" ht="20.05" customHeight="1">
      <c r="B9" s="49"/>
      <c r="C9" s="50">
        <v>1360</v>
      </c>
      <c r="D9" s="51"/>
      <c r="E9" s="52">
        <f>C9*E$3</f>
        <v>29420.3194888179</v>
      </c>
      <c r="F9" s="52">
        <f>SUM('Sales'!F9:F12)</f>
        <v>2546.2</v>
      </c>
      <c r="G9" s="52">
        <f>E9/F9</f>
        <v>11.5545988095271</v>
      </c>
      <c r="H9" s="51"/>
    </row>
    <row r="10" ht="20.05" customHeight="1">
      <c r="B10" s="49"/>
      <c r="C10" s="50">
        <v>1315</v>
      </c>
      <c r="D10" s="51"/>
      <c r="E10" s="52">
        <f>C10*E$3</f>
        <v>28446.8530351437</v>
      </c>
      <c r="F10" s="52">
        <f>SUM('Sales'!F10:F13)</f>
        <v>1378.4</v>
      </c>
      <c r="G10" s="52">
        <f>E10/F10</f>
        <v>20.6375892593904</v>
      </c>
      <c r="H10" s="51"/>
    </row>
    <row r="11" ht="20.05" customHeight="1">
      <c r="B11" s="49"/>
      <c r="C11" s="50">
        <v>1285</v>
      </c>
      <c r="D11" s="51"/>
      <c r="E11" s="52">
        <f>C11*E$3</f>
        <v>27797.875399361</v>
      </c>
      <c r="F11" s="54">
        <f>SUM('Sales'!F11:F14)</f>
        <v>2339</v>
      </c>
      <c r="G11" s="52">
        <f>E11/F11</f>
        <v>11.8845127829675</v>
      </c>
      <c r="H11" s="51"/>
    </row>
    <row r="12" ht="20.05" customHeight="1">
      <c r="B12" s="53">
        <v>2018</v>
      </c>
      <c r="C12" s="50">
        <v>1115</v>
      </c>
      <c r="D12" s="51"/>
      <c r="E12" s="52">
        <f>C12*E$3</f>
        <v>24120.3354632588</v>
      </c>
      <c r="F12" s="54">
        <f>SUM('Sales'!F12:F15)</f>
        <v>2371.7</v>
      </c>
      <c r="G12" s="52">
        <f>E12/F12</f>
        <v>10.1700617545469</v>
      </c>
      <c r="H12" s="51"/>
    </row>
    <row r="13" ht="20.05" customHeight="1">
      <c r="B13" s="49"/>
      <c r="C13" s="50">
        <v>998</v>
      </c>
      <c r="D13" s="51"/>
      <c r="E13" s="52">
        <f>C13*E$3</f>
        <v>21589.3226837061</v>
      </c>
      <c r="F13" s="54">
        <f>SUM('Sales'!F13:F16)</f>
        <v>2368.1</v>
      </c>
      <c r="G13" s="52">
        <f>E13/F13</f>
        <v>9.11672762286479</v>
      </c>
      <c r="H13" s="51"/>
    </row>
    <row r="14" ht="20.05" customHeight="1">
      <c r="B14" s="49"/>
      <c r="C14" s="50">
        <v>1125</v>
      </c>
      <c r="D14" s="51"/>
      <c r="E14" s="52">
        <f>C14*E$3</f>
        <v>24336.661341853</v>
      </c>
      <c r="F14" s="54">
        <f>SUM('Sales'!F14:F17)</f>
        <v>2314.4</v>
      </c>
      <c r="G14" s="52">
        <f>E14/F14</f>
        <v>10.515322045391</v>
      </c>
      <c r="H14" s="51"/>
    </row>
    <row r="15" ht="20.05" customHeight="1">
      <c r="B15" s="49"/>
      <c r="C15" s="50">
        <v>720</v>
      </c>
      <c r="D15" s="51"/>
      <c r="E15" s="52">
        <f>C15*E$3</f>
        <v>15575.4632587859</v>
      </c>
      <c r="F15" s="54">
        <f>SUM('Sales'!F15:F18)</f>
        <v>702.6</v>
      </c>
      <c r="G15" s="52">
        <f>E15/F15</f>
        <v>22.1683223153799</v>
      </c>
      <c r="H15" s="51"/>
    </row>
    <row r="16" ht="20.05" customHeight="1">
      <c r="B16" s="53">
        <v>2019</v>
      </c>
      <c r="C16" s="50">
        <v>778</v>
      </c>
      <c r="D16" s="51"/>
      <c r="E16" s="52">
        <f>C16*E$3</f>
        <v>16830.1533546326</v>
      </c>
      <c r="F16" s="54">
        <f>SUM('Sales'!F16:F19)</f>
        <v>695.6</v>
      </c>
      <c r="G16" s="52">
        <f>E16/F16</f>
        <v>24.1951600842907</v>
      </c>
      <c r="H16" s="51"/>
    </row>
    <row r="17" ht="20.05" customHeight="1">
      <c r="B17" s="49"/>
      <c r="C17" s="50">
        <v>758</v>
      </c>
      <c r="D17" s="51"/>
      <c r="E17" s="52">
        <f>C17*E$3</f>
        <v>16397.5015974441</v>
      </c>
      <c r="F17" s="54">
        <f>SUM('Sales'!F17:F20)</f>
        <v>698.2</v>
      </c>
      <c r="G17" s="52">
        <f>E17/F17</f>
        <v>23.4853932933889</v>
      </c>
      <c r="H17" s="51"/>
    </row>
    <row r="18" ht="20.05" customHeight="1">
      <c r="B18" s="49"/>
      <c r="C18" s="50">
        <v>1225</v>
      </c>
      <c r="D18" s="51"/>
      <c r="E18" s="52">
        <f>C18*E$3</f>
        <v>26499.9201277955</v>
      </c>
      <c r="F18" s="54">
        <f>SUM('Sales'!F18:F21)</f>
        <v>716.7</v>
      </c>
      <c r="G18" s="52">
        <f>E18/F18</f>
        <v>36.9749129730647</v>
      </c>
      <c r="H18" s="51"/>
    </row>
    <row r="19" ht="20.05" customHeight="1">
      <c r="B19" s="49"/>
      <c r="C19" s="50">
        <v>1230</v>
      </c>
      <c r="D19" s="51"/>
      <c r="E19" s="52">
        <f>C19*E$3</f>
        <v>26608.0830670926</v>
      </c>
      <c r="F19" s="54">
        <f>SUM('Sales'!F19:F22)</f>
        <v>866.1</v>
      </c>
      <c r="G19" s="52">
        <f>E19/F19</f>
        <v>30.7217215876834</v>
      </c>
      <c r="H19" s="51"/>
    </row>
    <row r="20" ht="20.05" customHeight="1">
      <c r="B20" s="53">
        <v>2020</v>
      </c>
      <c r="C20" s="55">
        <v>905</v>
      </c>
      <c r="D20" s="51"/>
      <c r="E20" s="52">
        <f>C20*E$3</f>
        <v>19577.4920127795</v>
      </c>
      <c r="F20" s="54">
        <f>SUM('Sales'!F20:F23)</f>
        <v>881.6</v>
      </c>
      <c r="G20" s="52">
        <f>E20/F20</f>
        <v>22.2067740616827</v>
      </c>
      <c r="H20" s="51"/>
    </row>
    <row r="21" ht="20.05" customHeight="1">
      <c r="B21" s="49"/>
      <c r="C21" s="50">
        <v>1105</v>
      </c>
      <c r="D21" s="56"/>
      <c r="E21" s="52">
        <f>C21*E$3</f>
        <v>23904.0095846645</v>
      </c>
      <c r="F21" s="54">
        <f>SUM('Sales'!F21:F24)</f>
        <v>1001.3</v>
      </c>
      <c r="G21" s="52">
        <f>E21/F21</f>
        <v>23.8729747175317</v>
      </c>
      <c r="H21" s="51"/>
    </row>
    <row r="22" ht="20.05" customHeight="1">
      <c r="B22" s="49"/>
      <c r="C22" s="57">
        <v>1335</v>
      </c>
      <c r="D22" s="56"/>
      <c r="E22" s="52">
        <f>C22*E$3</f>
        <v>28879.5047923322</v>
      </c>
      <c r="F22" s="54">
        <f>SUM('Sales'!F22:F25)</f>
        <v>1013.3</v>
      </c>
      <c r="G22" s="52">
        <f>E22/F22</f>
        <v>28.5004488229865</v>
      </c>
      <c r="H22" s="51"/>
    </row>
    <row r="23" ht="20.05" customHeight="1">
      <c r="B23" s="49"/>
      <c r="C23" s="57">
        <v>1630</v>
      </c>
      <c r="D23" s="56"/>
      <c r="E23" s="52">
        <f>C23*E$3</f>
        <v>35261.1182108626</v>
      </c>
      <c r="F23" s="54">
        <f>SUM('Sales'!F23:F26)</f>
        <v>1066.6</v>
      </c>
      <c r="G23" s="52">
        <f>E23/F23</f>
        <v>33.059364532967</v>
      </c>
      <c r="H23" s="51"/>
    </row>
    <row r="24" ht="20.05" customHeight="1">
      <c r="B24" s="53">
        <v>2021</v>
      </c>
      <c r="C24" s="57">
        <v>2070</v>
      </c>
      <c r="D24" s="56"/>
      <c r="E24" s="52">
        <f>C24*E$3</f>
        <v>44779.4568690095</v>
      </c>
      <c r="F24" s="54">
        <f>SUM('Sales'!F24:F27)</f>
        <v>1105.9</v>
      </c>
      <c r="G24" s="52">
        <f>E24/F24</f>
        <v>40.4914159227864</v>
      </c>
      <c r="H24" s="51"/>
    </row>
    <row r="25" ht="20.05" customHeight="1">
      <c r="B25" s="49"/>
      <c r="C25" s="57">
        <v>3210</v>
      </c>
      <c r="D25" s="56"/>
      <c r="E25" s="52">
        <f>C25*E$3</f>
        <v>69440.6070287539</v>
      </c>
      <c r="F25" s="54">
        <f>SUM('Sales'!F25:F28)</f>
        <v>1218.5</v>
      </c>
      <c r="G25" s="52">
        <f>E25/F25</f>
        <v>56.9885983001673</v>
      </c>
      <c r="H25" s="51"/>
    </row>
    <row r="26" ht="20.05" customHeight="1">
      <c r="B26" s="49"/>
      <c r="C26" s="57">
        <v>2960</v>
      </c>
      <c r="D26" s="56"/>
      <c r="E26" s="52">
        <f>C26*E$3</f>
        <v>64032.4600638977</v>
      </c>
      <c r="F26" s="54">
        <f>SUM('Sales'!F26:F29)</f>
        <v>1394.5</v>
      </c>
      <c r="G26" s="52">
        <f>E26/F26</f>
        <v>45.9178630791665</v>
      </c>
      <c r="H26" s="51"/>
    </row>
    <row r="27" ht="20.05" customHeight="1">
      <c r="B27" s="49"/>
      <c r="C27" s="57">
        <v>3130</v>
      </c>
      <c r="D27" s="58">
        <f>C27</f>
        <v>3130</v>
      </c>
      <c r="E27" s="52">
        <f>C27*E$3</f>
        <v>67709.9999999999</v>
      </c>
      <c r="F27" s="54">
        <f>SUM('Sales'!F27:F30)</f>
        <v>1119.8</v>
      </c>
      <c r="G27" s="52">
        <f>E27/F27</f>
        <v>60.4661546704768</v>
      </c>
      <c r="H27" s="59">
        <f>G27</f>
        <v>60.4661546704768</v>
      </c>
    </row>
    <row r="28" ht="20.05" customHeight="1">
      <c r="B28" s="49"/>
      <c r="C28" s="57"/>
      <c r="D28" s="58">
        <f>'Model'!F43</f>
        <v>1507.063497851420</v>
      </c>
      <c r="E28" s="56"/>
      <c r="F28" s="56"/>
      <c r="G28" s="56"/>
      <c r="H28" s="60">
        <f>'Model'!F41/('Model'!C10+'Model'!D10+'Model'!E10+'Model'!F10)</f>
        <v>36.5975161629277</v>
      </c>
    </row>
  </sheetData>
  <mergeCells count="1">
    <mergeCell ref="B2:H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