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<sst xmlns="http://schemas.openxmlformats.org/spreadsheetml/2006/main" uniqueCount="59">
  <si>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</si>
  <si>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</si>
  <si>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2021</t>
  </si>
  <si>
    <t xml:space="preserve">Cashflow </t>
  </si>
  <si>
    <t>Growth</t>
  </si>
  <si>
    <t>Sales</t>
  </si>
  <si>
    <t>Cost ratio</t>
  </si>
  <si>
    <t>Cash costs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</si>
  <si>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</si>
  <si>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</si>
  <si>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</si>
  <si>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</si>
  <si>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</si>
  <si>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</si>
  <si>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</si>
  <si>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</si>
  <si>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</si>
  <si>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</si>
  <si>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</si>
  <si>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</si>
  <si>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</si>
  <si>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</si>
  <si>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</si>
  <si>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</si>
  <si>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</si>
  <si>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</si>
  <si>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</si>
  <si>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</si>
  <si>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</si>
  <si>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</si>
  <si>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</si>
  <si>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</si>
  <si>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</si>
  <si>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</si>
  <si>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</si>
  <si>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</si>
  <si>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</si>
  <si>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</si>
  <si>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</si>
  <si>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</si>
  <si>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</si>
  <si>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Biological </t>
  </si>
  <si>
    <t>FX gain (loss)</t>
  </si>
  <si>
    <t>Net profit</t>
  </si>
  <si>
    <t xml:space="preserve">Sales growth </t>
  </si>
  <si>
    <t xml:space="preserve">Cost ratio </t>
  </si>
  <si>
    <t xml:space="preserve">Cashflow costs </t>
  </si>
  <si>
    <t>Cashflow</t>
  </si>
  <si>
    <t xml:space="preserve">Receipts </t>
  </si>
  <si>
    <t xml:space="preserve">Investment </t>
  </si>
  <si>
    <t>Free cash flow</t>
  </si>
  <si>
    <t>Capital</t>
  </si>
  <si>
    <t>Balance sheet</t>
  </si>
  <si>
    <t xml:space="preserve">Cash </t>
  </si>
  <si>
    <t>Assets</t>
  </si>
  <si>
    <t>Other assets</t>
  </si>
  <si>
    <t>Net cash</t>
  </si>
  <si>
    <t>SSMS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</si>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</sst>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_);[Red]\(#,##0%\)"/>
    <numFmt numFmtId="60" formatCode="#,##0%"/>
  </numFmts>
  <fonts count="6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sz val="16"/>
      <color indexed="8"/>
      <name val="Helvetica Neue"/>
    </font>
    <font>
      <b val="1"/>
      <sz val="14"/>
      <color indexed="8"/>
      <name val="Helvetica Neue"/>
    </font>
    <font>
      <b val="1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left" vertical="center" wrapText="1"/>
    </xf>
    <xf numFmtId="49" fontId="4" fillId="2" borderId="1" applyNumberFormat="1" applyFont="1" applyFill="1" applyBorder="1" applyAlignment="1" applyProtection="0">
      <alignment horizontal="right" vertical="top" wrapText="1"/>
    </xf>
    <xf numFmtId="0" fontId="4" fillId="2" borderId="1" applyNumberFormat="0" applyFont="1" applyFill="1" applyBorder="1" applyAlignment="1" applyProtection="0">
      <alignment vertical="top" wrapText="1"/>
    </xf>
    <xf numFmtId="49" fontId="4" fillId="3" borderId="2" applyNumberFormat="1" applyFont="1" applyFill="1" applyBorder="1" applyAlignment="1" applyProtection="0">
      <alignment horizontal="left" vertical="center" wrapText="1"/>
    </xf>
    <xf numFmtId="59" fontId="2" borderId="3" applyNumberFormat="1" applyFont="1" applyFill="0" applyBorder="1" applyAlignment="1" applyProtection="0">
      <alignment horizontal="right" vertical="center"/>
    </xf>
    <xf numFmtId="59" fontId="2" borderId="4" applyNumberFormat="1" applyFont="1" applyFill="0" applyBorder="1" applyAlignment="1" applyProtection="0">
      <alignment horizontal="right" vertical="center"/>
    </xf>
    <xf numFmtId="49" fontId="2" fillId="3" borderId="5" applyNumberFormat="1" applyFont="1" applyFill="1" applyBorder="1" applyAlignment="1" applyProtection="0">
      <alignment horizontal="left" vertical="center" wrapText="1"/>
    </xf>
    <xf numFmtId="9" fontId="2" borderId="6" applyNumberFormat="1" applyFont="1" applyFill="0" applyBorder="1" applyAlignment="1" applyProtection="0">
      <alignment vertical="top" wrapText="1"/>
    </xf>
    <xf numFmtId="9" fontId="2" borderId="7" applyNumberFormat="1" applyFont="1" applyFill="0" applyBorder="1" applyAlignment="1" applyProtection="0">
      <alignment vertical="top" wrapText="1"/>
    </xf>
    <xf numFmtId="37" fontId="2" borderId="6" applyNumberFormat="1" applyFont="1" applyFill="0" applyBorder="1" applyAlignment="1" applyProtection="0">
      <alignment vertical="top" wrapText="1"/>
    </xf>
    <xf numFmtId="37" fontId="2" borderId="7" applyNumberFormat="1" applyFont="1" applyFill="0" applyBorder="1" applyAlignment="1" applyProtection="0">
      <alignment vertical="top" wrapText="1"/>
    </xf>
    <xf numFmtId="60" fontId="2" borderId="6" applyNumberFormat="1" applyFont="1" applyFill="0" applyBorder="1" applyAlignment="1" applyProtection="0">
      <alignment vertical="top" wrapText="1"/>
    </xf>
    <xf numFmtId="60" fontId="2" borderId="7" applyNumberFormat="1" applyFont="1" applyFill="0" applyBorder="1" applyAlignment="1" applyProtection="0">
      <alignment vertical="top" wrapText="1"/>
    </xf>
    <xf numFmtId="3" fontId="2" borderId="6" applyNumberFormat="1" applyFont="1" applyFill="0" applyBorder="1" applyAlignment="1" applyProtection="0">
      <alignment horizontal="right" vertical="center"/>
    </xf>
    <xf numFmtId="3" fontId="2" borderId="7" applyNumberFormat="1" applyFont="1" applyFill="0" applyBorder="1" applyAlignment="1" applyProtection="0">
      <alignment horizontal="right" vertical="center"/>
    </xf>
    <xf numFmtId="3" fontId="2" borderId="6" applyNumberFormat="1" applyFont="1" applyFill="0" applyBorder="1" applyAlignment="1" applyProtection="0">
      <alignment vertical="top" wrapText="1"/>
    </xf>
    <xf numFmtId="3" fontId="2" borderId="7" applyNumberFormat="1" applyFont="1" applyFill="0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horizontal="left" vertical="center" wrapText="1"/>
    </xf>
    <xf numFmtId="0" fontId="2" borderId="7" applyNumberFormat="0" applyFont="1" applyFill="0" applyBorder="1" applyAlignment="1" applyProtection="0">
      <alignment vertical="top" wrapText="1"/>
    </xf>
    <xf numFmtId="4" fontId="2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right" vertical="top" wrapText="1"/>
    </xf>
    <xf numFmtId="0" fontId="5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5" fillId="4" borderId="5" applyNumberFormat="0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5" fillId="4" borderId="5" applyNumberFormat="1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fillId="6" borderId="5" applyNumberFormat="0" applyFont="1" applyFill="1" applyBorder="1" applyAlignment="1" applyProtection="0">
      <alignment vertical="top" wrapText="1"/>
    </xf>
    <xf numFmtId="3" fontId="0" fillId="6" borderId="6" applyNumberFormat="1" applyFont="1" applyFill="1" applyBorder="1" applyAlignment="1" applyProtection="0">
      <alignment vertical="top" wrapText="1"/>
    </xf>
    <xf numFmtId="3" fontId="0" fillId="6" borderId="7" applyNumberFormat="1" applyFont="1" applyFill="1" applyBorder="1" applyAlignment="1" applyProtection="0">
      <alignment vertical="top" wrapText="1"/>
    </xf>
    <xf numFmtId="3" fontId="0" fillId="7" borderId="7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fillId="2" borderId="1" applyNumberFormat="0" applyFont="1" applyFill="1" applyBorder="1" applyAlignment="1" applyProtection="0">
      <alignment vertical="top" wrapText="1"/>
    </xf>
    <xf numFmtId="49" fontId="5" fillId="2" borderId="1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  <rgbColor rgb="ffffb5af"/>
      <rgbColor rgb="ffff8c8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815700</xdr:colOff>
      <xdr:row>2</xdr:row>
      <xdr:rowOff>48070</xdr:rowOff>
    </xdr:from>
    <xdr:to>
      <xdr:col>14</xdr:col>
      <xdr:colOff>178941</xdr:colOff>
      <xdr:row>44</xdr:row>
      <xdr:rowOff>169635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784700" y="1024065"/>
          <a:ext cx="9320042" cy="131593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24.7" customHeight="1" outlineLevelRow="0" outlineLevelCol="0"/>
  <cols>
    <col min="1" max="1" width="10.9844" style="1" customWidth="1"/>
    <col min="2" max="2" width="20.6094" style="1" customWidth="1"/>
    <col min="3" max="6" width="11.5859" style="1" customWidth="1"/>
    <col min="7" max="16384" width="16.3516" style="1" customWidth="1"/>
  </cols>
  <sheetData>
    <row r="1" ht="45.3" customHeight="1"/>
    <row r="2" ht="31.55" customHeight="1">
      <c r="B2" t="s" s="2">
        <v>0</v>
      </c>
      <c r="C2" s="2"/>
      <c r="D2" s="2"/>
      <c r="E2" s="2"/>
      <c r="F2" s="2"/>
    </row>
    <row r="3" ht="26" customHeight="1">
      <c r="B3" t="s" s="3">
        <v>1</v>
      </c>
      <c r="C3" t="s" s="4">
        <v>2</v>
      </c>
      <c r="D3" s="5"/>
      <c r="E3" s="5"/>
      <c r="F3" s="5"/>
    </row>
    <row r="4" ht="26.2" customHeight="1">
      <c r="B4" t="s" s="6">
        <v>3</v>
      </c>
      <c r="C4" s="7">
        <f>AVERAGE('Sales'!I23:I26)</f>
        <v>0.09940964769793929</v>
      </c>
      <c r="D4" s="8"/>
      <c r="E4" s="8"/>
      <c r="F4" s="8">
        <f>AVERAGE(C5:F5)</f>
        <v>0.05</v>
      </c>
    </row>
    <row r="5" ht="23.95" customHeight="1">
      <c r="B5" t="s" s="9">
        <v>4</v>
      </c>
      <c r="C5" s="10">
        <v>0.1</v>
      </c>
      <c r="D5" s="11">
        <v>-0.02</v>
      </c>
      <c r="E5" s="11">
        <v>0.05</v>
      </c>
      <c r="F5" s="11">
        <v>0.07000000000000001</v>
      </c>
    </row>
    <row r="6" ht="23.95" customHeight="1">
      <c r="B6" t="s" s="9">
        <v>5</v>
      </c>
      <c r="C6" s="12">
        <f>'Sales'!C26*(1+C5)</f>
        <v>1485.88</v>
      </c>
      <c r="D6" s="13">
        <f>C6*(1+D5)</f>
        <v>1456.1624</v>
      </c>
      <c r="E6" s="13">
        <f>D6*(1+E5)</f>
        <v>1528.97052</v>
      </c>
      <c r="F6" s="13">
        <f>E6*(1+F5)</f>
        <v>1635.9984564</v>
      </c>
    </row>
    <row r="7" ht="23.95" customHeight="1">
      <c r="B7" t="s" s="9">
        <v>6</v>
      </c>
      <c r="C7" s="14">
        <f>AVERAGE('Sales'!J26)</f>
        <v>-0.785386437666568</v>
      </c>
      <c r="D7" s="15">
        <f>C7</f>
        <v>-0.785386437666568</v>
      </c>
      <c r="E7" s="15">
        <f>D7</f>
        <v>-0.785386437666568</v>
      </c>
      <c r="F7" s="15">
        <f>E7</f>
        <v>-0.785386437666568</v>
      </c>
    </row>
    <row r="8" ht="23.95" customHeight="1">
      <c r="B8" t="s" s="9">
        <v>7</v>
      </c>
      <c r="C8" s="16">
        <f>C6*C7</f>
        <v>-1166.99</v>
      </c>
      <c r="D8" s="17">
        <f>D6*D7</f>
        <v>-1143.6502</v>
      </c>
      <c r="E8" s="17">
        <f>E6*E7</f>
        <v>-1200.83271</v>
      </c>
      <c r="F8" s="17">
        <f>F6*F7</f>
        <v>-1284.8909997</v>
      </c>
    </row>
    <row r="9" ht="26" customHeight="1">
      <c r="B9" t="s" s="9">
        <v>8</v>
      </c>
      <c r="C9" s="18">
        <f>C6+C8</f>
        <v>318.89</v>
      </c>
      <c r="D9" s="19">
        <f>D6+D8</f>
        <v>312.5122</v>
      </c>
      <c r="E9" s="19">
        <f>E6+E8</f>
        <v>328.13781</v>
      </c>
      <c r="F9" s="19">
        <f>F6+F8</f>
        <v>351.1074567</v>
      </c>
    </row>
    <row r="10" ht="26" customHeight="1">
      <c r="B10" t="s" s="9">
        <v>9</v>
      </c>
      <c r="C10" s="18">
        <f>AVERAGE('Cashflow '!E25:E26)</f>
        <v>-161.65</v>
      </c>
      <c r="D10" s="19">
        <f>C10</f>
        <v>-161.65</v>
      </c>
      <c r="E10" s="19">
        <f>D10</f>
        <v>-161.65</v>
      </c>
      <c r="F10" s="19">
        <f>E10</f>
        <v>-161.65</v>
      </c>
    </row>
    <row r="11" ht="26" customHeight="1">
      <c r="B11" t="s" s="9">
        <v>10</v>
      </c>
      <c r="C11" s="18">
        <f>C12+C13+C15</f>
        <v>-157.24</v>
      </c>
      <c r="D11" s="19">
        <f>D12+D13+D15</f>
        <v>-150.8622</v>
      </c>
      <c r="E11" s="19">
        <f>E12+E13+E15</f>
        <v>-166.48781</v>
      </c>
      <c r="F11" s="19">
        <f>F12+F13+F15</f>
        <v>-189.4574567</v>
      </c>
    </row>
    <row r="12" ht="23.95" customHeight="1">
      <c r="B12" t="s" s="9">
        <v>11</v>
      </c>
      <c r="C12" s="18">
        <f>-('Balance sheet'!F25)/20</f>
        <v>-387.6</v>
      </c>
      <c r="D12" s="19">
        <f>-C26/20</f>
        <v>-368.22</v>
      </c>
      <c r="E12" s="19">
        <f>-D26/20</f>
        <v>-349.809</v>
      </c>
      <c r="F12" s="19">
        <f>-E26/20</f>
        <v>-332.31855</v>
      </c>
    </row>
    <row r="13" ht="23.95" customHeight="1">
      <c r="B13" t="s" s="9">
        <v>12</v>
      </c>
      <c r="C13" s="18">
        <f>IF(C21&gt;0,-C21*0.1,0)</f>
        <v>-24.509</v>
      </c>
      <c r="D13" s="19">
        <f>IF(D21&gt;0,-D21*0.1,0)</f>
        <v>-23.87122</v>
      </c>
      <c r="E13" s="19">
        <f>IF(E21&gt;0,-E21*0.1,0)</f>
        <v>-25.433781</v>
      </c>
      <c r="F13" s="19">
        <f>IF(F21&gt;0,-F21*0.1,0)</f>
        <v>-27.73074567</v>
      </c>
    </row>
    <row r="14" ht="23.95" customHeight="1">
      <c r="B14" t="s" s="9">
        <v>13</v>
      </c>
      <c r="C14" s="18">
        <f>C9+C10+C12+C13</f>
        <v>-254.869</v>
      </c>
      <c r="D14" s="19">
        <f>D9+D10+D12+D13</f>
        <v>-241.22902</v>
      </c>
      <c r="E14" s="19">
        <f>E9+E10+E12+E13</f>
        <v>-208.754971</v>
      </c>
      <c r="F14" s="19">
        <f>F9+F10+F12+F13</f>
        <v>-170.59183897</v>
      </c>
    </row>
    <row r="15" ht="23.95" customHeight="1">
      <c r="B15" t="s" s="9">
        <v>14</v>
      </c>
      <c r="C15" s="18">
        <f>-MIN(0,C14)</f>
        <v>254.869</v>
      </c>
      <c r="D15" s="19">
        <f>-MIN(C27,D14)</f>
        <v>241.22902</v>
      </c>
      <c r="E15" s="19">
        <f>-MIN(D27,E14)</f>
        <v>208.754971</v>
      </c>
      <c r="F15" s="19">
        <f>-MIN(E27,F14)</f>
        <v>170.59183897</v>
      </c>
    </row>
    <row r="16" ht="23.95" customHeight="1">
      <c r="B16" t="s" s="9">
        <v>15</v>
      </c>
      <c r="C16" s="18">
        <f>'Balance sheet'!B25</f>
        <v>1720</v>
      </c>
      <c r="D16" s="19">
        <f>C18</f>
        <v>1720</v>
      </c>
      <c r="E16" s="19">
        <f>D18</f>
        <v>1720</v>
      </c>
      <c r="F16" s="19">
        <f>E18</f>
        <v>1720</v>
      </c>
    </row>
    <row r="17" ht="23.95" customHeight="1">
      <c r="B17" t="s" s="9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3.95" customHeight="1">
      <c r="B18" t="s" s="9">
        <v>17</v>
      </c>
      <c r="C18" s="18">
        <f>C16+C17</f>
        <v>1720</v>
      </c>
      <c r="D18" s="19">
        <f>D16+D17</f>
        <v>1720</v>
      </c>
      <c r="E18" s="19">
        <f>E16+E17</f>
        <v>1720</v>
      </c>
      <c r="F18" s="19">
        <f>F16+F17</f>
        <v>1720</v>
      </c>
    </row>
    <row r="19" ht="26" customHeight="1">
      <c r="B19" t="s" s="20">
        <v>18</v>
      </c>
      <c r="C19" s="18"/>
      <c r="D19" s="19"/>
      <c r="E19" s="19"/>
      <c r="F19" s="21"/>
    </row>
    <row r="20" ht="26" customHeight="1">
      <c r="B20" t="s" s="9">
        <v>19</v>
      </c>
      <c r="C20" s="18">
        <f>-AVERAGE('Sales'!E26)</f>
        <v>-73.8</v>
      </c>
      <c r="D20" s="19">
        <f>C20</f>
        <v>-73.8</v>
      </c>
      <c r="E20" s="19">
        <f>D20</f>
        <v>-73.8</v>
      </c>
      <c r="F20" s="19">
        <f>E20</f>
        <v>-73.8</v>
      </c>
    </row>
    <row r="21" ht="26" customHeight="1">
      <c r="B21" t="s" s="9">
        <v>20</v>
      </c>
      <c r="C21" s="16">
        <f>C6+C8+C20</f>
        <v>245.09</v>
      </c>
      <c r="D21" s="17">
        <f>D6+D8+D20</f>
        <v>238.7122</v>
      </c>
      <c r="E21" s="17">
        <f>E6+E8+E20</f>
        <v>254.33781</v>
      </c>
      <c r="F21" s="17">
        <f>F6+F8+F20</f>
        <v>277.3074567</v>
      </c>
    </row>
    <row r="22" ht="26" customHeight="1">
      <c r="B22" t="s" s="9">
        <v>21</v>
      </c>
      <c r="C22" s="18"/>
      <c r="D22" s="19"/>
      <c r="E22" s="19"/>
      <c r="F22" s="19"/>
    </row>
    <row r="23" ht="23.95" customHeight="1">
      <c r="B23" t="s" s="9">
        <v>22</v>
      </c>
      <c r="C23" s="18">
        <f>'Balance sheet'!E25+'Balance sheet'!D25-C10</f>
        <v>14491.65</v>
      </c>
      <c r="D23" s="19">
        <f>C23-D10</f>
        <v>14653.3</v>
      </c>
      <c r="E23" s="19">
        <f>D23-E10</f>
        <v>14814.95</v>
      </c>
      <c r="F23" s="19">
        <f>E23-F10</f>
        <v>14976.6</v>
      </c>
    </row>
    <row r="24" ht="23.95" customHeight="1">
      <c r="B24" t="s" s="9">
        <v>23</v>
      </c>
      <c r="C24" s="18">
        <f>'Balance sheet'!E25-C20</f>
        <v>2729.8</v>
      </c>
      <c r="D24" s="19">
        <f>C24-D20</f>
        <v>2803.6</v>
      </c>
      <c r="E24" s="19">
        <f>D24-E20</f>
        <v>2877.4</v>
      </c>
      <c r="F24" s="19">
        <f>E24-F20</f>
        <v>2951.2</v>
      </c>
    </row>
    <row r="25" ht="23.95" customHeight="1">
      <c r="B25" t="s" s="9">
        <v>24</v>
      </c>
      <c r="C25" s="18">
        <f>C23-C24</f>
        <v>11761.85</v>
      </c>
      <c r="D25" s="19">
        <f>D23-D24</f>
        <v>11849.7</v>
      </c>
      <c r="E25" s="19">
        <f>E23-E24</f>
        <v>11937.55</v>
      </c>
      <c r="F25" s="19">
        <f>F23-F24</f>
        <v>12025.4</v>
      </c>
    </row>
    <row r="26" ht="23.95" customHeight="1">
      <c r="B26" t="s" s="9">
        <v>11</v>
      </c>
      <c r="C26" s="18">
        <f>'Balance sheet'!F25+C12</f>
        <v>7364.4</v>
      </c>
      <c r="D26" s="19">
        <f>C26+D12</f>
        <v>6996.18</v>
      </c>
      <c r="E26" s="19">
        <f>D26+E12</f>
        <v>6646.371</v>
      </c>
      <c r="F26" s="19">
        <f>E26+F12</f>
        <v>6314.05245</v>
      </c>
    </row>
    <row r="27" ht="23.95" customHeight="1">
      <c r="B27" t="s" s="9">
        <v>14</v>
      </c>
      <c r="C27" s="18">
        <f>C15</f>
        <v>254.869</v>
      </c>
      <c r="D27" s="19">
        <f>C27+D15</f>
        <v>496.09802</v>
      </c>
      <c r="E27" s="19">
        <f>D27+E15</f>
        <v>704.852991</v>
      </c>
      <c r="F27" s="19">
        <f>E27+F15</f>
        <v>875.44482997</v>
      </c>
    </row>
    <row r="28" ht="26" customHeight="1">
      <c r="B28" t="s" s="9">
        <v>12</v>
      </c>
      <c r="C28" s="18">
        <f>'Balance sheet'!G25+C21+C13</f>
        <v>5862.581</v>
      </c>
      <c r="D28" s="19">
        <f>C28+D21+D13</f>
        <v>6077.42198</v>
      </c>
      <c r="E28" s="19">
        <f>D28+E21+E13</f>
        <v>6306.326009</v>
      </c>
      <c r="F28" s="19">
        <f>E28+F21+F13</f>
        <v>6555.90272003</v>
      </c>
    </row>
    <row r="29" ht="23.95" customHeight="1">
      <c r="B29" t="s" s="9">
        <v>25</v>
      </c>
      <c r="C29" s="18">
        <f>C26+C27+C28-C18-C25</f>
        <v>0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3.95" customHeight="1">
      <c r="B30" t="s" s="9">
        <v>26</v>
      </c>
      <c r="C30" s="18">
        <f>C18-C26-C27</f>
        <v>-5899.269</v>
      </c>
      <c r="D30" s="19">
        <f>D18-D26-D27</f>
        <v>-5772.27802</v>
      </c>
      <c r="E30" s="19">
        <f>E18-E26-E27</f>
        <v>-5631.223991</v>
      </c>
      <c r="F30" s="19">
        <f>F18-F26-F27</f>
        <v>-5469.49727997</v>
      </c>
    </row>
    <row r="31" ht="23.95" customHeight="1">
      <c r="B31" t="s" s="9">
        <v>27</v>
      </c>
      <c r="C31" s="18"/>
      <c r="D31" s="19"/>
      <c r="E31" s="19"/>
      <c r="F31" s="19"/>
    </row>
    <row r="32" ht="23.95" customHeight="1">
      <c r="B32" t="s" s="9">
        <v>28</v>
      </c>
      <c r="C32" s="18">
        <f>'Cashflow '!K26-C11</f>
        <v>-993.614</v>
      </c>
      <c r="D32" s="19">
        <f>C32-D11</f>
        <v>-842.7518</v>
      </c>
      <c r="E32" s="19">
        <f>D32-E11</f>
        <v>-676.26399</v>
      </c>
      <c r="F32" s="19">
        <f>E32-F11</f>
        <v>-486.8065333</v>
      </c>
    </row>
    <row r="33" ht="23.95" customHeight="1">
      <c r="B33" t="s" s="9">
        <v>29</v>
      </c>
      <c r="C33" s="18"/>
      <c r="D33" s="19"/>
      <c r="E33" s="19"/>
      <c r="F33" s="19">
        <v>11240</v>
      </c>
    </row>
    <row r="34" ht="23.95" customHeight="1">
      <c r="B34" t="s" s="9">
        <v>30</v>
      </c>
      <c r="C34" s="18"/>
      <c r="D34" s="19"/>
      <c r="E34" s="19"/>
      <c r="F34" s="22">
        <f>F33/(F18+F25)</f>
        <v>0.817728112677696</v>
      </c>
    </row>
    <row r="35" ht="23.95" customHeight="1">
      <c r="B35" t="s" s="9">
        <v>31</v>
      </c>
      <c r="C35" s="18"/>
      <c r="D35" s="19"/>
      <c r="E35" s="19"/>
      <c r="F35" s="15">
        <f>-(C13+D13+E13+F13)/F33</f>
        <v>0.00903423013078292</v>
      </c>
    </row>
    <row r="36" ht="23.95" customHeight="1">
      <c r="B36" t="s" s="9">
        <v>3</v>
      </c>
      <c r="C36" s="18"/>
      <c r="D36" s="19"/>
      <c r="E36" s="19"/>
      <c r="F36" s="19">
        <f>SUM(C9:F10)</f>
        <v>664.0474667</v>
      </c>
    </row>
    <row r="37" ht="23.95" customHeight="1">
      <c r="B37" t="s" s="9">
        <v>32</v>
      </c>
      <c r="C37" s="18"/>
      <c r="D37" s="19"/>
      <c r="E37" s="19"/>
      <c r="F37" s="19">
        <f>'Balance sheet'!D25/F36</f>
        <v>17.5800685725287</v>
      </c>
    </row>
    <row r="38" ht="23.95" customHeight="1">
      <c r="B38" t="s" s="9">
        <v>27</v>
      </c>
      <c r="C38" s="18"/>
      <c r="D38" s="19"/>
      <c r="E38" s="19"/>
      <c r="F38" s="19">
        <f>F33/F36</f>
        <v>16.9265008356367</v>
      </c>
    </row>
    <row r="39" ht="23.95" customHeight="1">
      <c r="B39" t="s" s="9">
        <v>33</v>
      </c>
      <c r="C39" s="18"/>
      <c r="D39" s="19"/>
      <c r="E39" s="19"/>
      <c r="F39" s="19">
        <v>20</v>
      </c>
    </row>
    <row r="40" ht="23.95" customHeight="1">
      <c r="B40" t="s" s="9">
        <v>34</v>
      </c>
      <c r="C40" s="18"/>
      <c r="D40" s="19"/>
      <c r="E40" s="19"/>
      <c r="F40" s="19">
        <f>F36*F39</f>
        <v>13280.949334</v>
      </c>
    </row>
    <row r="41" ht="23.95" customHeight="1">
      <c r="B41" t="s" s="9">
        <v>35</v>
      </c>
      <c r="C41" s="18"/>
      <c r="D41" s="19"/>
      <c r="E41" s="19"/>
      <c r="F41" s="19">
        <f>F33/F43</f>
        <v>9.525423728813561</v>
      </c>
    </row>
    <row r="42" ht="23.95" customHeight="1">
      <c r="B42" t="s" s="9">
        <v>36</v>
      </c>
      <c r="C42" s="18"/>
      <c r="D42" s="19"/>
      <c r="E42" s="19"/>
      <c r="F42" s="19">
        <f>F40/F41</f>
        <v>1394.263364245550</v>
      </c>
    </row>
    <row r="43" ht="23.95" customHeight="1">
      <c r="B43" t="s" s="9">
        <v>37</v>
      </c>
      <c r="C43" s="18"/>
      <c r="D43" s="19"/>
      <c r="E43" s="19"/>
      <c r="F43" s="19">
        <f>'Share price '!B97</f>
        <v>1180</v>
      </c>
    </row>
    <row r="44" ht="23.95" customHeight="1">
      <c r="B44" t="s" s="9">
        <v>38</v>
      </c>
      <c r="C44" s="18"/>
      <c r="D44" s="19"/>
      <c r="E44" s="19"/>
      <c r="F44" s="15">
        <f>F42/F43-1</f>
        <v>0.181579122241992</v>
      </c>
    </row>
    <row r="45" ht="23.95" customHeight="1">
      <c r="B45" t="s" s="9">
        <v>39</v>
      </c>
      <c r="C45" s="18"/>
      <c r="D45" s="19"/>
      <c r="E45" s="19"/>
      <c r="F45" s="15">
        <f>'Sales'!C26/'Sales'!C22-1</f>
        <v>0.394302229562345</v>
      </c>
    </row>
    <row r="46" ht="23.95" customHeight="1">
      <c r="B46" t="s" s="9">
        <v>40</v>
      </c>
      <c r="C46" s="18"/>
      <c r="D46" s="19"/>
      <c r="E46" s="19"/>
      <c r="F46" s="15">
        <f>('Sales'!D20+'Sales'!D26+'Sales'!D21+'Sales'!D22+'Sales'!D23+'Sales'!D24+'Sales'!D25)/('Sales'!C20+'Sales'!C21+'Sales'!C22+'Sales'!C23+'Sales'!C24+'Sales'!C26+'Sales'!C25)-1</f>
        <v>-0.0252461038961039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8125" style="23" customWidth="1"/>
    <col min="2" max="2" width="9.46094" style="23" customWidth="1"/>
    <col min="3" max="12" width="9.48438" style="23" customWidth="1"/>
    <col min="13" max="16384" width="16.3516" style="23" customWidth="1"/>
  </cols>
  <sheetData>
    <row r="1" ht="52.45" customHeight="1"/>
    <row r="2" ht="27.65" customHeight="1">
      <c r="B2" t="s" s="24">
        <v>5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32.25" customHeight="1">
      <c r="B3" t="s" s="25">
        <v>1</v>
      </c>
      <c r="C3" t="s" s="25">
        <v>5</v>
      </c>
      <c r="D3" t="s" s="25">
        <v>33</v>
      </c>
      <c r="E3" t="s" s="25">
        <v>23</v>
      </c>
      <c r="F3" t="s" s="25">
        <v>41</v>
      </c>
      <c r="G3" t="s" s="25">
        <v>42</v>
      </c>
      <c r="H3" t="s" s="25">
        <v>43</v>
      </c>
      <c r="I3" t="s" s="25">
        <v>44</v>
      </c>
      <c r="J3" t="s" s="25">
        <v>45</v>
      </c>
      <c r="K3" t="s" s="25">
        <v>46</v>
      </c>
      <c r="L3" t="s" s="25">
        <v>46</v>
      </c>
    </row>
    <row r="4" ht="20.25" customHeight="1">
      <c r="B4" s="26">
        <v>2016</v>
      </c>
      <c r="C4" s="27">
        <v>495</v>
      </c>
      <c r="D4" s="28"/>
      <c r="E4" s="28">
        <v>19.4</v>
      </c>
      <c r="F4" s="28"/>
      <c r="G4" s="28"/>
      <c r="H4" s="28">
        <v>149</v>
      </c>
      <c r="I4" s="29"/>
      <c r="J4" s="30">
        <f>(E4+H4-F4-C4-G4)/C4</f>
        <v>-0.65979797979798</v>
      </c>
      <c r="K4" s="31"/>
      <c r="L4" s="31"/>
    </row>
    <row r="5" ht="20.05" customHeight="1">
      <c r="B5" s="32"/>
      <c r="C5" s="33">
        <v>655</v>
      </c>
      <c r="D5" s="34"/>
      <c r="E5" s="34">
        <v>94.2</v>
      </c>
      <c r="F5" s="34"/>
      <c r="G5" s="34"/>
      <c r="H5" s="34">
        <v>46</v>
      </c>
      <c r="I5" s="35">
        <f>C5/C4-1</f>
        <v>0.323232323232323</v>
      </c>
      <c r="J5" s="35">
        <f>(E5+H5-F5-C5-G5)/C5</f>
        <v>-0.785954198473282</v>
      </c>
      <c r="K5" s="36"/>
      <c r="L5" s="36"/>
    </row>
    <row r="6" ht="20.05" customHeight="1">
      <c r="B6" s="32"/>
      <c r="C6" s="33">
        <v>589</v>
      </c>
      <c r="D6" s="34"/>
      <c r="E6" s="34">
        <v>82.40000000000001</v>
      </c>
      <c r="F6" s="34"/>
      <c r="G6" s="34"/>
      <c r="H6" s="34">
        <v>140</v>
      </c>
      <c r="I6" s="35">
        <f>C6/C5-1</f>
        <v>-0.100763358778626</v>
      </c>
      <c r="J6" s="35">
        <f>(E6+H6-F6-C6-G6)/C6</f>
        <v>-0.622410865874363</v>
      </c>
      <c r="K6" s="36"/>
      <c r="L6" s="36"/>
    </row>
    <row r="7" ht="20.05" customHeight="1">
      <c r="B7" s="32"/>
      <c r="C7" s="33">
        <v>984</v>
      </c>
      <c r="D7" s="34"/>
      <c r="E7" s="34">
        <v>45.2</v>
      </c>
      <c r="F7" s="34"/>
      <c r="G7" s="34"/>
      <c r="H7" s="34">
        <v>257</v>
      </c>
      <c r="I7" s="35">
        <f>C7/C6-1</f>
        <v>0.67062818336163</v>
      </c>
      <c r="J7" s="35">
        <f>(E7+H7-F7-C7-G7)/C7</f>
        <v>-0.692886178861789</v>
      </c>
      <c r="K7" s="36"/>
      <c r="L7" s="36"/>
    </row>
    <row r="8" ht="20.05" customHeight="1">
      <c r="B8" s="37">
        <v>2017</v>
      </c>
      <c r="C8" s="33">
        <v>715</v>
      </c>
      <c r="D8" s="34"/>
      <c r="E8" s="34">
        <v>55.9</v>
      </c>
      <c r="F8" s="34"/>
      <c r="G8" s="34"/>
      <c r="H8" s="34">
        <v>241</v>
      </c>
      <c r="I8" s="35">
        <f>C8/C7-1</f>
        <v>-0.273373983739837</v>
      </c>
      <c r="J8" s="35">
        <f>(E8+H8-F8-C8-G8)/C8</f>
        <v>-0.584755244755245</v>
      </c>
      <c r="K8" s="35"/>
      <c r="L8" s="35">
        <f>('Cashflow '!D8-'Cashflow '!C8)/'Cashflow '!C8</f>
        <v>-0.4559296590178</v>
      </c>
    </row>
    <row r="9" ht="20.05" customHeight="1">
      <c r="B9" s="32"/>
      <c r="C9" s="33">
        <v>844</v>
      </c>
      <c r="D9" s="34"/>
      <c r="E9" s="34">
        <v>75.5</v>
      </c>
      <c r="F9" s="34"/>
      <c r="G9" s="34"/>
      <c r="H9" s="34">
        <v>116</v>
      </c>
      <c r="I9" s="35">
        <f>C9/C8-1</f>
        <v>0.18041958041958</v>
      </c>
      <c r="J9" s="35">
        <f>(E9+H9-F9-C9-G9)/C9</f>
        <v>-0.773104265402844</v>
      </c>
      <c r="K9" s="35"/>
      <c r="L9" s="35">
        <f>('Cashflow '!D9-'Cashflow '!C9)/'Cashflow '!C9</f>
        <v>-0.998232434821034</v>
      </c>
    </row>
    <row r="10" ht="20.05" customHeight="1">
      <c r="B10" s="32"/>
      <c r="C10" s="33">
        <v>822</v>
      </c>
      <c r="D10" s="34"/>
      <c r="E10" s="34">
        <v>65.3</v>
      </c>
      <c r="F10" s="34"/>
      <c r="G10" s="34"/>
      <c r="H10" s="34">
        <v>274</v>
      </c>
      <c r="I10" s="35">
        <f>C10/C9-1</f>
        <v>-0.0260663507109005</v>
      </c>
      <c r="J10" s="35">
        <f>(E10+H10-F10-C10-G10)/C10</f>
        <v>-0.587226277372263</v>
      </c>
      <c r="K10" s="35"/>
      <c r="L10" s="35">
        <f>('Cashflow '!D10-'Cashflow '!C10)/'Cashflow '!C10</f>
        <v>-0.5921403197158081</v>
      </c>
    </row>
    <row r="11" ht="20.05" customHeight="1">
      <c r="B11" s="32"/>
      <c r="C11" s="33">
        <v>859</v>
      </c>
      <c r="D11" s="34"/>
      <c r="E11" s="34">
        <v>67.3</v>
      </c>
      <c r="F11" s="34"/>
      <c r="G11" s="34"/>
      <c r="H11" s="34">
        <v>160</v>
      </c>
      <c r="I11" s="35">
        <f>C11/C10-1</f>
        <v>0.0450121654501217</v>
      </c>
      <c r="J11" s="35">
        <f>(E11+H11-F11-C11-G11)/C11</f>
        <v>-0.735389988358556</v>
      </c>
      <c r="K11" s="35"/>
      <c r="L11" s="35">
        <f>('Cashflow '!D11-'Cashflow '!C11)/'Cashflow '!C11</f>
        <v>-0.959789750328515</v>
      </c>
    </row>
    <row r="12" ht="20.05" customHeight="1">
      <c r="B12" s="37">
        <v>2018</v>
      </c>
      <c r="C12" s="33">
        <v>901</v>
      </c>
      <c r="D12" s="34"/>
      <c r="E12" s="34">
        <v>66.5</v>
      </c>
      <c r="F12" s="34">
        <v>16</v>
      </c>
      <c r="G12" s="34">
        <v>87</v>
      </c>
      <c r="H12" s="34">
        <v>206</v>
      </c>
      <c r="I12" s="35">
        <f>C12/C11-1</f>
        <v>0.0488940628637951</v>
      </c>
      <c r="J12" s="35">
        <f>(E12+H12-F12-C12-G12)/C12</f>
        <v>-0.8118756936736961</v>
      </c>
      <c r="K12" s="35">
        <f>AVERAGE(L9:L12)</f>
        <v>-0.84427086544024</v>
      </c>
      <c r="L12" s="35">
        <f>('Cashflow '!D12-'Cashflow '!C12)/'Cashflow '!C12</f>
        <v>-0.826920956895601</v>
      </c>
    </row>
    <row r="13" ht="20.05" customHeight="1">
      <c r="B13" s="32"/>
      <c r="C13" s="33">
        <v>991</v>
      </c>
      <c r="D13" s="34"/>
      <c r="E13" s="34">
        <v>65.09999999999999</v>
      </c>
      <c r="F13" s="34">
        <v>25</v>
      </c>
      <c r="G13" s="34">
        <v>-224</v>
      </c>
      <c r="H13" s="34">
        <v>121</v>
      </c>
      <c r="I13" s="35">
        <f>C13/C12-1</f>
        <v>0.09988901220865699</v>
      </c>
      <c r="J13" s="35">
        <f>(E13+H13-F13-C13-G13)/C13</f>
        <v>-0.611402623612513</v>
      </c>
      <c r="K13" s="35">
        <f>AVERAGE(L10:L13)</f>
        <v>-0.790591981953363</v>
      </c>
      <c r="L13" s="35">
        <f>('Cashflow '!D13-'Cashflow '!C13)/'Cashflow '!C13</f>
        <v>-0.783516900873528</v>
      </c>
    </row>
    <row r="14" ht="20.05" customHeight="1">
      <c r="B14" s="32"/>
      <c r="C14" s="33">
        <v>999</v>
      </c>
      <c r="D14" s="34"/>
      <c r="E14" s="34">
        <v>59.4</v>
      </c>
      <c r="F14" s="34">
        <v>-67</v>
      </c>
      <c r="G14" s="34">
        <v>-18</v>
      </c>
      <c r="H14" s="34">
        <v>68</v>
      </c>
      <c r="I14" s="35">
        <f>C14/C13-1</f>
        <v>0.00807265388496468</v>
      </c>
      <c r="J14" s="35">
        <f>(E14+H14-F14-C14-G14)/C14</f>
        <v>-0.787387387387387</v>
      </c>
      <c r="K14" s="35">
        <f>AVERAGE(L11:L14)</f>
        <v>-0.9072072794578639</v>
      </c>
      <c r="L14" s="35">
        <f>('Cashflow '!D14-'Cashflow '!C14)/'Cashflow '!C14</f>
        <v>-1.05860150973381</v>
      </c>
    </row>
    <row r="15" ht="20.05" customHeight="1">
      <c r="B15" s="32"/>
      <c r="C15" s="33">
        <v>820</v>
      </c>
      <c r="D15" s="34"/>
      <c r="E15" s="34">
        <v>77.3</v>
      </c>
      <c r="F15" s="34">
        <v>-67</v>
      </c>
      <c r="G15" s="34">
        <v>-4</v>
      </c>
      <c r="H15" s="34">
        <v>-308</v>
      </c>
      <c r="I15" s="35">
        <f>C15/C14-1</f>
        <v>-0.179179179179179</v>
      </c>
      <c r="J15" s="35">
        <f>(E15+H15-F15-C15-G15)/C15</f>
        <v>-1.19475609756098</v>
      </c>
      <c r="K15" s="35">
        <f>AVERAGE(L12:L15)</f>
        <v>-0.918057319620542</v>
      </c>
      <c r="L15" s="35">
        <f>('Cashflow '!D15-'Cashflow '!C15)/'Cashflow '!C15</f>
        <v>-1.00318991097923</v>
      </c>
    </row>
    <row r="16" ht="20.05" customHeight="1">
      <c r="B16" s="37">
        <v>2019</v>
      </c>
      <c r="C16" s="33">
        <v>845.8</v>
      </c>
      <c r="D16" s="34"/>
      <c r="E16" s="34">
        <v>67.8</v>
      </c>
      <c r="F16" s="34">
        <v>62</v>
      </c>
      <c r="G16" s="34">
        <v>18</v>
      </c>
      <c r="H16" s="34">
        <v>112.9</v>
      </c>
      <c r="I16" s="35">
        <f>C16/C15-1</f>
        <v>0.0314634146341463</v>
      </c>
      <c r="J16" s="35">
        <f>(E16+H16-F16-C16-G16)/C16</f>
        <v>-0.880941120832348</v>
      </c>
      <c r="K16" s="35">
        <f>AVERAGE(L13:L16)</f>
        <v>-0.943368714485774</v>
      </c>
      <c r="L16" s="35">
        <f>('Cashflow '!D16-'Cashflow '!C16)/'Cashflow '!C16</f>
        <v>-0.928166536356529</v>
      </c>
    </row>
    <row r="17" ht="20.05" customHeight="1">
      <c r="B17" s="32"/>
      <c r="C17" s="33">
        <v>650.2</v>
      </c>
      <c r="D17" s="34"/>
      <c r="E17" s="34">
        <v>69.90000000000001</v>
      </c>
      <c r="F17" s="34">
        <v>-12</v>
      </c>
      <c r="G17" s="34">
        <v>52</v>
      </c>
      <c r="H17" s="34">
        <v>-127.9</v>
      </c>
      <c r="I17" s="35">
        <f>C17/C16-1</f>
        <v>-0.23126034523528</v>
      </c>
      <c r="J17" s="35">
        <f>(E17+H17-F17-C17-G17)/C17</f>
        <v>-1.15072285450631</v>
      </c>
      <c r="K17" s="35">
        <f>AVERAGE(L14:L17)</f>
        <v>-0.991174978034848</v>
      </c>
      <c r="L17" s="35">
        <f>('Cashflow '!D17-'Cashflow '!C17)/'Cashflow '!C17</f>
        <v>-0.974741955069824</v>
      </c>
    </row>
    <row r="18" ht="20.05" customHeight="1">
      <c r="B18" s="32"/>
      <c r="C18" s="33">
        <v>923</v>
      </c>
      <c r="D18" s="34"/>
      <c r="E18" s="34">
        <v>79.59999999999999</v>
      </c>
      <c r="F18" s="34">
        <v>33</v>
      </c>
      <c r="G18" s="34">
        <v>-40</v>
      </c>
      <c r="H18" s="34">
        <v>13.7</v>
      </c>
      <c r="I18" s="35">
        <f>C18/C17-1</f>
        <v>0.419563211319594</v>
      </c>
      <c r="J18" s="35">
        <f>(E18+H18-F18-C18-G18)/C18</f>
        <v>-0.891332611050921</v>
      </c>
      <c r="K18" s="35">
        <f>AVERAGE(L15:L18)</f>
        <v>-0.987571373706861</v>
      </c>
      <c r="L18" s="35">
        <f>('Cashflow '!D18-'Cashflow '!C18)/'Cashflow '!C18</f>
        <v>-1.04418709242186</v>
      </c>
    </row>
    <row r="19" ht="20.05" customHeight="1">
      <c r="B19" s="32"/>
      <c r="C19" s="33">
        <v>809</v>
      </c>
      <c r="D19" s="34"/>
      <c r="E19" s="34">
        <v>81.8</v>
      </c>
      <c r="F19" s="34">
        <v>21</v>
      </c>
      <c r="G19" s="34">
        <v>99</v>
      </c>
      <c r="H19" s="34">
        <v>13.3</v>
      </c>
      <c r="I19" s="35">
        <f>C19/C18-1</f>
        <v>-0.123510292524377</v>
      </c>
      <c r="J19" s="35">
        <f>(E19+H19-F19-C19-G19)/C19</f>
        <v>-1.03077873918418</v>
      </c>
      <c r="K19" s="35">
        <f>AVERAGE(L16:L19)</f>
        <v>-1.00078933509139</v>
      </c>
      <c r="L19" s="35">
        <f>('Cashflow '!D19-'Cashflow '!C19)/'Cashflow '!C19</f>
        <v>-1.05606175651734</v>
      </c>
    </row>
    <row r="20" ht="20.05" customHeight="1">
      <c r="B20" s="37">
        <v>2020</v>
      </c>
      <c r="C20" s="33">
        <v>918.3</v>
      </c>
      <c r="D20" s="34">
        <v>972.67</v>
      </c>
      <c r="E20" s="34">
        <v>76.3</v>
      </c>
      <c r="F20" s="34">
        <v>-24</v>
      </c>
      <c r="G20" s="34">
        <v>-564.3</v>
      </c>
      <c r="H20" s="34">
        <v>-338.7</v>
      </c>
      <c r="I20" s="35">
        <f>C20/C19-1</f>
        <v>0.135105067985167</v>
      </c>
      <c r="J20" s="35">
        <f>(E20+H20-F20-C20-G20)/C20</f>
        <v>-0.645105085484047</v>
      </c>
      <c r="K20" s="35">
        <f>AVERAGE(L17:L20)</f>
        <v>-1.00927781169587</v>
      </c>
      <c r="L20" s="35">
        <f>('Cashflow '!D20-'Cashflow '!C20)/'Cashflow '!C20</f>
        <v>-0.962120442774449</v>
      </c>
    </row>
    <row r="21" ht="20.05" customHeight="1">
      <c r="B21" s="32"/>
      <c r="C21" s="33">
        <f>1770-C20</f>
        <v>851.7</v>
      </c>
      <c r="D21" s="34">
        <v>715.22</v>
      </c>
      <c r="E21" s="34">
        <f>154.3+0.1+0.8-E20</f>
        <v>78.90000000000001</v>
      </c>
      <c r="F21" s="34">
        <v>-19</v>
      </c>
      <c r="G21" s="34">
        <v>479</v>
      </c>
      <c r="H21" s="34">
        <f>101.8-H20</f>
        <v>440.5</v>
      </c>
      <c r="I21" s="35">
        <f>C21/C20-1</f>
        <v>-0.0725253185233584</v>
      </c>
      <c r="J21" s="35">
        <f>(E21+H21-F21-C21-G21)/C21</f>
        <v>-0.930257132793237</v>
      </c>
      <c r="K21" s="35">
        <f>AVERAGE(L18:L21)</f>
        <v>-0.96122879909924</v>
      </c>
      <c r="L21" s="35">
        <f>('Cashflow '!D21-'Cashflow '!C21)/'Cashflow '!C21</f>
        <v>-0.782545904683309</v>
      </c>
    </row>
    <row r="22" ht="20.05" customHeight="1">
      <c r="B22" s="32"/>
      <c r="C22" s="33">
        <v>968.8</v>
      </c>
      <c r="D22" s="34">
        <v>923</v>
      </c>
      <c r="E22" s="34">
        <v>83.2</v>
      </c>
      <c r="F22" s="34">
        <v>90.09999999999999</v>
      </c>
      <c r="G22" s="34">
        <v>-131.1</v>
      </c>
      <c r="H22" s="34">
        <v>165.9</v>
      </c>
      <c r="I22" s="35">
        <f>C22/C21-1</f>
        <v>0.137489726429494</v>
      </c>
      <c r="J22" s="35">
        <f>(E22+H22-F22-C22-G22)/C22</f>
        <v>-0.700557390586292</v>
      </c>
      <c r="K22" s="35">
        <f>AVERAGE(L19:L22)</f>
        <v>-0.93794820125995</v>
      </c>
      <c r="L22" s="35">
        <f>('Cashflow '!D22-'Cashflow '!C22)/'Cashflow '!C22</f>
        <v>-0.951064701064701</v>
      </c>
    </row>
    <row r="23" ht="20.05" customHeight="1">
      <c r="B23" s="32"/>
      <c r="C23" s="33">
        <f>4011.1-SUM(C20:C22)</f>
        <v>1272.3</v>
      </c>
      <c r="D23" s="34">
        <v>1114.12</v>
      </c>
      <c r="E23" s="34">
        <f>2.5+319.9+1.6-SUM(E20:E22)</f>
        <v>85.59999999999999</v>
      </c>
      <c r="F23" s="34">
        <f>59.7-SUM(F20:F22)</f>
        <v>12.6</v>
      </c>
      <c r="G23" s="34">
        <f>-45.5-SUM(G20:G22)</f>
        <v>170.9</v>
      </c>
      <c r="H23" s="34">
        <f>580.9-SUM(H20:H22)</f>
        <v>313.2</v>
      </c>
      <c r="I23" s="35">
        <f>C23/C22-1</f>
        <v>0.313274153592073</v>
      </c>
      <c r="J23" s="35">
        <f>(E23+H23-F23-C23-G23)/C23</f>
        <v>-0.830778904346459</v>
      </c>
      <c r="K23" s="35">
        <f>AVERAGE(L20:L23)</f>
        <v>-0.856171386815283</v>
      </c>
      <c r="L23" s="35">
        <f>('Cashflow '!D23-'Cashflow '!C23)/'Cashflow '!C23</f>
        <v>-0.728954498738671</v>
      </c>
    </row>
    <row r="24" ht="20.05" customHeight="1">
      <c r="B24" s="37">
        <v>2021</v>
      </c>
      <c r="C24" s="33">
        <v>1089</v>
      </c>
      <c r="D24" s="34">
        <v>1208.685</v>
      </c>
      <c r="E24" s="34">
        <f>78.7</f>
        <v>78.7</v>
      </c>
      <c r="F24" s="34">
        <v>25.9</v>
      </c>
      <c r="G24" s="34">
        <v>-100</v>
      </c>
      <c r="H24" s="34">
        <f>176</f>
        <v>176</v>
      </c>
      <c r="I24" s="35">
        <f>C24/C23-1</f>
        <v>-0.144069794859703</v>
      </c>
      <c r="J24" s="35">
        <f>(E24+H24-F24-C24-G24)/C24</f>
        <v>-0.698071625344353</v>
      </c>
      <c r="K24" s="35">
        <f>AVERAGE(L21:L24)</f>
        <v>-0.827618862909672</v>
      </c>
      <c r="L24" s="35">
        <f>('Cashflow '!D24-'Cashflow '!C24)/'Cashflow '!C24</f>
        <v>-0.847910347152005</v>
      </c>
    </row>
    <row r="25" ht="20.05" customHeight="1">
      <c r="B25" s="32"/>
      <c r="C25" s="33">
        <f>2338.1-C24</f>
        <v>1249.1</v>
      </c>
      <c r="D25" s="34">
        <v>1197.9</v>
      </c>
      <c r="E25" s="34">
        <f>71.8+79.4+6.2-E24</f>
        <v>78.7</v>
      </c>
      <c r="F25" s="34">
        <f>-11.3-F24</f>
        <v>-37.2</v>
      </c>
      <c r="G25" s="34">
        <f>-84.1-G24</f>
        <v>15.9</v>
      </c>
      <c r="H25" s="34">
        <f>700.3-H24</f>
        <v>524.3</v>
      </c>
      <c r="I25" s="35">
        <f>C25/C24-1</f>
        <v>0.147015610651974</v>
      </c>
      <c r="J25" s="35">
        <f>(E25+H25-F25-C25-G25)/C25</f>
        <v>-0.500200144103755</v>
      </c>
      <c r="K25" s="35">
        <f>AVERAGE(L22:L25)</f>
        <v>-0.819737704389218</v>
      </c>
      <c r="L25" s="35">
        <f>('Cashflow '!D25-'Cashflow '!C25)/'Cashflow '!C25</f>
        <v>-0.751021270601493</v>
      </c>
    </row>
    <row r="26" ht="20.05" customHeight="1">
      <c r="B26" s="32"/>
      <c r="C26" s="33">
        <f>3688.9-SUM(C24:C25)</f>
        <v>1350.8</v>
      </c>
      <c r="D26" s="34">
        <v>1374.01</v>
      </c>
      <c r="E26" s="34">
        <f>114.5+105.6+9.3+1.8-SUM(E24:E25)</f>
        <v>73.8</v>
      </c>
      <c r="F26" s="34">
        <f>60.7-SUM(F24:F25)</f>
        <v>72</v>
      </c>
      <c r="G26" s="34">
        <f>-38.3-SUM(G24:G25)</f>
        <v>45.8</v>
      </c>
      <c r="H26" s="34">
        <f>1034.2-SUM(H24:H25)</f>
        <v>333.9</v>
      </c>
      <c r="I26" s="35">
        <f>C26/C25-1</f>
        <v>0.08141862140741329</v>
      </c>
      <c r="J26" s="35">
        <f>(E26+H26-F26-C26-G26)/C26</f>
        <v>-0.785386437666568</v>
      </c>
      <c r="K26" s="35">
        <f>AVERAGE(L23:L26)</f>
        <v>-0.795230788382302</v>
      </c>
      <c r="L26" s="35">
        <f>('Cashflow '!D26-'Cashflow '!C26)/'Cashflow '!C26</f>
        <v>-0.853037037037037</v>
      </c>
    </row>
    <row r="27" ht="20.05" customHeight="1">
      <c r="B27" s="32"/>
      <c r="C27" s="33"/>
      <c r="D27" s="34">
        <f>'Model'!C6</f>
        <v>1485.88</v>
      </c>
      <c r="E27" s="34"/>
      <c r="F27" s="34"/>
      <c r="G27" s="34"/>
      <c r="H27" s="34"/>
      <c r="I27" s="38"/>
      <c r="J27" s="38">
        <f>'Model'!C7</f>
        <v>-0.785386437666568</v>
      </c>
      <c r="K27" s="38"/>
      <c r="L27" s="38"/>
    </row>
    <row r="28" ht="20.05" customHeight="1">
      <c r="B28" s="37">
        <v>2020</v>
      </c>
      <c r="C28" s="33"/>
      <c r="D28" s="34">
        <f>'Model'!D6</f>
        <v>1456.1624</v>
      </c>
      <c r="E28" s="34"/>
      <c r="F28" s="34"/>
      <c r="G28" s="34"/>
      <c r="H28" s="34"/>
      <c r="I28" s="38"/>
      <c r="J28" s="38"/>
      <c r="K28" s="38"/>
      <c r="L28" s="38"/>
    </row>
    <row r="29" ht="20.05" customHeight="1">
      <c r="B29" s="32"/>
      <c r="C29" s="33"/>
      <c r="D29" s="34">
        <f>'Model'!E6</f>
        <v>1528.97052</v>
      </c>
      <c r="E29" s="34"/>
      <c r="F29" s="34"/>
      <c r="G29" s="34"/>
      <c r="H29" s="34"/>
      <c r="I29" s="38"/>
      <c r="J29" s="38"/>
      <c r="K29" s="38"/>
      <c r="L29" s="38"/>
    </row>
    <row r="30" ht="20.05" customHeight="1">
      <c r="B30" s="32"/>
      <c r="C30" s="33"/>
      <c r="D30" s="34">
        <f>'Model'!F6</f>
        <v>1635.9984564</v>
      </c>
      <c r="E30" s="34"/>
      <c r="F30" s="34"/>
      <c r="G30" s="34"/>
      <c r="H30" s="34"/>
      <c r="I30" s="38"/>
      <c r="J30" s="38"/>
      <c r="K30" s="38"/>
      <c r="L30" s="38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2344" style="39" customWidth="1"/>
    <col min="2" max="2" width="9.55469" style="39" customWidth="1"/>
    <col min="3" max="11" width="10.9219" style="39" customWidth="1"/>
    <col min="12" max="16384" width="16.3516" style="39" customWidth="1"/>
  </cols>
  <sheetData>
    <row r="1" ht="36.45" customHeight="1"/>
    <row r="2" ht="27.65" customHeight="1">
      <c r="B2" t="s" s="24">
        <v>47</v>
      </c>
      <c r="C2" s="24"/>
      <c r="D2" s="24"/>
      <c r="E2" s="24"/>
      <c r="F2" s="24"/>
      <c r="G2" s="24"/>
      <c r="H2" s="24"/>
      <c r="I2" s="24"/>
      <c r="J2" s="24"/>
      <c r="K2" s="24"/>
    </row>
    <row r="3" ht="32.25" customHeight="1">
      <c r="B3" t="s" s="25">
        <v>1</v>
      </c>
      <c r="C3" t="s" s="25">
        <v>48</v>
      </c>
      <c r="D3" t="s" s="25">
        <v>8</v>
      </c>
      <c r="E3" t="s" s="25">
        <v>49</v>
      </c>
      <c r="F3" t="s" s="25">
        <v>11</v>
      </c>
      <c r="G3" t="s" s="25">
        <v>12</v>
      </c>
      <c r="H3" t="s" s="25">
        <v>10</v>
      </c>
      <c r="I3" t="s" s="25">
        <v>50</v>
      </c>
      <c r="J3" t="s" s="25">
        <v>3</v>
      </c>
      <c r="K3" t="s" s="25">
        <v>51</v>
      </c>
    </row>
    <row r="4" ht="20.25" customHeight="1">
      <c r="B4" s="26">
        <v>2016</v>
      </c>
      <c r="C4" s="27">
        <v>797.9</v>
      </c>
      <c r="D4" s="28">
        <v>343.8</v>
      </c>
      <c r="E4" s="28">
        <v>-123.2</v>
      </c>
      <c r="F4" s="28"/>
      <c r="G4" s="28"/>
      <c r="H4" s="28">
        <v>-181.9</v>
      </c>
      <c r="I4" s="28">
        <f>D4+E4</f>
        <v>220.6</v>
      </c>
      <c r="J4" s="40"/>
      <c r="K4" s="28">
        <f>-H4</f>
        <v>181.9</v>
      </c>
    </row>
    <row r="5" ht="20.05" customHeight="1">
      <c r="B5" s="32"/>
      <c r="C5" s="33">
        <v>760.7</v>
      </c>
      <c r="D5" s="34">
        <v>96.3</v>
      </c>
      <c r="E5" s="34">
        <v>-15.4</v>
      </c>
      <c r="F5" s="34"/>
      <c r="G5" s="34"/>
      <c r="H5" s="34">
        <v>-314.8</v>
      </c>
      <c r="I5" s="34">
        <f>D5+E5</f>
        <v>80.90000000000001</v>
      </c>
      <c r="J5" s="41"/>
      <c r="K5" s="34">
        <f>-H5+K4</f>
        <v>496.7</v>
      </c>
    </row>
    <row r="6" ht="20.05" customHeight="1">
      <c r="B6" s="32"/>
      <c r="C6" s="33">
        <v>612.9</v>
      </c>
      <c r="D6" s="42">
        <v>647.9</v>
      </c>
      <c r="E6" s="42">
        <v>-85.8</v>
      </c>
      <c r="F6" s="42"/>
      <c r="G6" s="42"/>
      <c r="H6" s="42">
        <v>-572.9</v>
      </c>
      <c r="I6" s="34">
        <f>D6+E6</f>
        <v>562.1</v>
      </c>
      <c r="J6" s="41"/>
      <c r="K6" s="34">
        <f>-H6+K5</f>
        <v>1069.6</v>
      </c>
    </row>
    <row r="7" ht="20.05" customHeight="1">
      <c r="B7" s="32"/>
      <c r="C7" s="33">
        <v>632.1</v>
      </c>
      <c r="D7" s="34">
        <v>-428.9</v>
      </c>
      <c r="E7" s="34">
        <v>197.4</v>
      </c>
      <c r="F7" s="34"/>
      <c r="G7" s="34"/>
      <c r="H7" s="34">
        <v>78.2</v>
      </c>
      <c r="I7" s="34">
        <f>D7+E7</f>
        <v>-231.5</v>
      </c>
      <c r="J7" s="41"/>
      <c r="K7" s="34">
        <f>-H7+K6</f>
        <v>991.4</v>
      </c>
    </row>
    <row r="8" ht="20.05" customHeight="1">
      <c r="B8" s="37">
        <v>2017</v>
      </c>
      <c r="C8" s="33">
        <v>932.6</v>
      </c>
      <c r="D8" s="34">
        <v>507.4</v>
      </c>
      <c r="E8" s="34">
        <v>-271.3</v>
      </c>
      <c r="F8" s="34"/>
      <c r="G8" s="34"/>
      <c r="H8" s="34">
        <v>-115.4</v>
      </c>
      <c r="I8" s="34">
        <f>D8+E8</f>
        <v>236.1</v>
      </c>
      <c r="J8" s="34">
        <f>AVERAGE(I5:I8)</f>
        <v>161.9</v>
      </c>
      <c r="K8" s="34">
        <f>-H8+K7</f>
        <v>1106.8</v>
      </c>
    </row>
    <row r="9" ht="20.05" customHeight="1">
      <c r="B9" s="32"/>
      <c r="C9" s="33">
        <v>905.2</v>
      </c>
      <c r="D9" s="34">
        <v>1.6</v>
      </c>
      <c r="E9" s="34">
        <v>-846.7</v>
      </c>
      <c r="F9" s="34"/>
      <c r="G9" s="34"/>
      <c r="H9" s="34">
        <v>1858</v>
      </c>
      <c r="I9" s="34">
        <f>D9+E9</f>
        <v>-845.1</v>
      </c>
      <c r="J9" s="34">
        <f>AVERAGE(I6:I9)</f>
        <v>-69.59999999999999</v>
      </c>
      <c r="K9" s="34">
        <f>-H9+K8</f>
        <v>-751.2</v>
      </c>
    </row>
    <row r="10" ht="20.05" customHeight="1">
      <c r="B10" s="32"/>
      <c r="C10" s="33">
        <v>900.8</v>
      </c>
      <c r="D10" s="34">
        <v>367.4</v>
      </c>
      <c r="E10" s="34">
        <v>-299.4</v>
      </c>
      <c r="F10" s="34"/>
      <c r="G10" s="34"/>
      <c r="H10" s="34">
        <v>-356.2</v>
      </c>
      <c r="I10" s="34">
        <f>D10+E10</f>
        <v>68</v>
      </c>
      <c r="J10" s="34">
        <f>AVERAGE(I7:I10)</f>
        <v>-193.125</v>
      </c>
      <c r="K10" s="34">
        <f>-H10+K9</f>
        <v>-395</v>
      </c>
    </row>
    <row r="11" ht="20.05" customHeight="1">
      <c r="B11" s="32"/>
      <c r="C11" s="33">
        <v>761</v>
      </c>
      <c r="D11" s="34">
        <v>30.6</v>
      </c>
      <c r="E11" s="34">
        <v>1075.4</v>
      </c>
      <c r="F11" s="34"/>
      <c r="G11" s="34"/>
      <c r="H11" s="34">
        <v>86.59999999999999</v>
      </c>
      <c r="I11" s="34">
        <f>D11+E11</f>
        <v>1106</v>
      </c>
      <c r="J11" s="34">
        <f>AVERAGE(I8:I11)</f>
        <v>141.25</v>
      </c>
      <c r="K11" s="34">
        <f>-H11+K10</f>
        <v>-481.6</v>
      </c>
    </row>
    <row r="12" ht="20.05" customHeight="1">
      <c r="B12" s="37">
        <v>2018</v>
      </c>
      <c r="C12" s="33">
        <v>907.1</v>
      </c>
      <c r="D12" s="34">
        <v>157</v>
      </c>
      <c r="E12" s="34">
        <v>-533</v>
      </c>
      <c r="F12" s="34"/>
      <c r="G12" s="34"/>
      <c r="H12" s="34">
        <v>479</v>
      </c>
      <c r="I12" s="34">
        <f>D12+E12</f>
        <v>-376</v>
      </c>
      <c r="J12" s="34">
        <f>AVERAGE(I9:I12)</f>
        <v>-11.775</v>
      </c>
      <c r="K12" s="34">
        <f>-H12+K11</f>
        <v>-960.6</v>
      </c>
    </row>
    <row r="13" ht="20.05" customHeight="1">
      <c r="B13" s="32"/>
      <c r="C13" s="33">
        <v>1053.2</v>
      </c>
      <c r="D13" s="34">
        <v>228</v>
      </c>
      <c r="E13" s="34">
        <v>19</v>
      </c>
      <c r="F13" s="34"/>
      <c r="G13" s="34"/>
      <c r="H13" s="34">
        <v>-227</v>
      </c>
      <c r="I13" s="34">
        <f>D13+E13</f>
        <v>247</v>
      </c>
      <c r="J13" s="34">
        <f>AVERAGE(I10:I13)</f>
        <v>261.25</v>
      </c>
      <c r="K13" s="34">
        <f>-H13+K12</f>
        <v>-733.6</v>
      </c>
    </row>
    <row r="14" ht="20.05" customHeight="1">
      <c r="B14" s="32"/>
      <c r="C14" s="33">
        <v>1006.8</v>
      </c>
      <c r="D14" s="34">
        <v>-59</v>
      </c>
      <c r="E14" s="34">
        <v>-241.1</v>
      </c>
      <c r="F14" s="34"/>
      <c r="G14" s="34"/>
      <c r="H14" s="34">
        <v>60.1</v>
      </c>
      <c r="I14" s="34">
        <f>D14+E14</f>
        <v>-300.1</v>
      </c>
      <c r="J14" s="34">
        <f>AVERAGE(I11:I14)</f>
        <v>169.225</v>
      </c>
      <c r="K14" s="34">
        <f>-H14+K13</f>
        <v>-793.7</v>
      </c>
    </row>
    <row r="15" ht="20.05" customHeight="1">
      <c r="B15" s="32"/>
      <c r="C15" s="33">
        <v>1348</v>
      </c>
      <c r="D15" s="34">
        <v>-4.3</v>
      </c>
      <c r="E15" s="34">
        <v>-196.7</v>
      </c>
      <c r="F15" s="34"/>
      <c r="G15" s="34"/>
      <c r="H15" s="34">
        <v>419.1</v>
      </c>
      <c r="I15" s="34">
        <f>D15+E15</f>
        <v>-201</v>
      </c>
      <c r="J15" s="34">
        <f>AVERAGE(I12:I15)</f>
        <v>-157.525</v>
      </c>
      <c r="K15" s="34">
        <f>-H15+K14</f>
        <v>-1212.8</v>
      </c>
    </row>
    <row r="16" ht="20.05" customHeight="1">
      <c r="B16" s="37">
        <v>2019</v>
      </c>
      <c r="C16" s="33">
        <v>1023.2</v>
      </c>
      <c r="D16" s="34">
        <v>73.5</v>
      </c>
      <c r="E16" s="34">
        <v>-192.8</v>
      </c>
      <c r="F16" s="34"/>
      <c r="G16" s="34"/>
      <c r="H16" s="34">
        <v>-258</v>
      </c>
      <c r="I16" s="34">
        <f>D16+E16</f>
        <v>-119.3</v>
      </c>
      <c r="J16" s="34">
        <f>AVERAGE(I13:I16)</f>
        <v>-93.34999999999999</v>
      </c>
      <c r="K16" s="34">
        <f>-H16+K15</f>
        <v>-954.8</v>
      </c>
    </row>
    <row r="17" ht="20.05" customHeight="1">
      <c r="B17" s="32"/>
      <c r="C17" s="33">
        <v>823.5</v>
      </c>
      <c r="D17" s="34">
        <v>20.8</v>
      </c>
      <c r="E17" s="34">
        <v>-198.5</v>
      </c>
      <c r="F17" s="34"/>
      <c r="G17" s="34"/>
      <c r="H17" s="34">
        <v>124.1</v>
      </c>
      <c r="I17" s="34">
        <f>D17+E17</f>
        <v>-177.7</v>
      </c>
      <c r="J17" s="34">
        <f>AVERAGE(I14:I17)</f>
        <v>-199.525</v>
      </c>
      <c r="K17" s="34">
        <f>-H17+K16</f>
        <v>-1078.9</v>
      </c>
    </row>
    <row r="18" ht="20.05" customHeight="1">
      <c r="B18" s="32"/>
      <c r="C18" s="33">
        <v>889.4</v>
      </c>
      <c r="D18" s="34">
        <v>-39.3</v>
      </c>
      <c r="E18" s="34">
        <v>-204.7</v>
      </c>
      <c r="F18" s="34"/>
      <c r="G18" s="34"/>
      <c r="H18" s="34">
        <v>254.9</v>
      </c>
      <c r="I18" s="34">
        <f>D18+E18</f>
        <v>-244</v>
      </c>
      <c r="J18" s="34">
        <f>AVERAGE(I15:I18)</f>
        <v>-185.5</v>
      </c>
      <c r="K18" s="34">
        <f>-H18+K17</f>
        <v>-1333.8</v>
      </c>
    </row>
    <row r="19" ht="20.05" customHeight="1">
      <c r="B19" s="32"/>
      <c r="C19" s="33">
        <v>790.2</v>
      </c>
      <c r="D19" s="34">
        <v>-44.3</v>
      </c>
      <c r="E19" s="34">
        <v>-56.3</v>
      </c>
      <c r="F19" s="34"/>
      <c r="G19" s="34"/>
      <c r="H19" s="34">
        <v>349.06</v>
      </c>
      <c r="I19" s="34">
        <f>D19+E19</f>
        <v>-100.6</v>
      </c>
      <c r="J19" s="34">
        <f>AVERAGE(I16:I19)</f>
        <v>-160.4</v>
      </c>
      <c r="K19" s="34">
        <f>-H19+K18</f>
        <v>-1682.86</v>
      </c>
    </row>
    <row r="20" ht="20.05" customHeight="1">
      <c r="B20" s="37">
        <v>2020</v>
      </c>
      <c r="C20" s="33">
        <v>984.7</v>
      </c>
      <c r="D20" s="34">
        <v>37.3</v>
      </c>
      <c r="E20" s="34">
        <v>-256.9</v>
      </c>
      <c r="F20" s="34"/>
      <c r="G20" s="34"/>
      <c r="H20" s="34">
        <v>-38.2</v>
      </c>
      <c r="I20" s="34">
        <f>D20+E20</f>
        <v>-219.6</v>
      </c>
      <c r="J20" s="34">
        <f>AVERAGE(I17:I20)</f>
        <v>-185.475</v>
      </c>
      <c r="K20" s="34">
        <f>-H20+K19</f>
        <v>-1644.66</v>
      </c>
    </row>
    <row r="21" ht="20.05" customHeight="1">
      <c r="B21" s="32"/>
      <c r="C21" s="33">
        <v>969.4</v>
      </c>
      <c r="D21" s="34">
        <v>210.8</v>
      </c>
      <c r="E21" s="34">
        <v>-174.3</v>
      </c>
      <c r="F21" s="34"/>
      <c r="G21" s="34"/>
      <c r="H21" s="34">
        <v>-29.6</v>
      </c>
      <c r="I21" s="34">
        <f>D21+E21</f>
        <v>36.5</v>
      </c>
      <c r="J21" s="34">
        <f>AVERAGE(I18:I21)</f>
        <v>-131.925</v>
      </c>
      <c r="K21" s="34">
        <f>-H21+K20</f>
        <v>-1615.06</v>
      </c>
    </row>
    <row r="22" ht="20.05" customHeight="1">
      <c r="B22" s="32"/>
      <c r="C22" s="33">
        <f>2930.9-SUM(C20:C21)</f>
        <v>976.8</v>
      </c>
      <c r="D22" s="34">
        <v>47.8</v>
      </c>
      <c r="E22" s="34">
        <v>-307</v>
      </c>
      <c r="F22" s="34"/>
      <c r="G22" s="34"/>
      <c r="H22" s="34">
        <v>-38.3</v>
      </c>
      <c r="I22" s="34">
        <f>D22+E22</f>
        <v>-259.2</v>
      </c>
      <c r="J22" s="34">
        <f>AVERAGE(I19:I22)</f>
        <v>-135.725</v>
      </c>
      <c r="K22" s="34">
        <f>-H22+K21</f>
        <v>-1576.76</v>
      </c>
    </row>
    <row r="23" ht="20.05" customHeight="1">
      <c r="B23" s="32"/>
      <c r="C23" s="33">
        <f>4001.2-SUM(C20:C22)</f>
        <v>1070.3</v>
      </c>
      <c r="D23" s="34">
        <f>586-SUM(D20:D22)</f>
        <v>290.1</v>
      </c>
      <c r="E23" s="34">
        <f>-778.7-SUM(E20:E22)</f>
        <v>-40.5</v>
      </c>
      <c r="F23" s="34"/>
      <c r="G23" s="34"/>
      <c r="H23" s="34">
        <f>-107.9-SUM(H20:H22)</f>
        <v>-1.8</v>
      </c>
      <c r="I23" s="34">
        <f>D23+E23</f>
        <v>249.6</v>
      </c>
      <c r="J23" s="34">
        <f>AVERAGE(I20:I23)</f>
        <v>-48.175</v>
      </c>
      <c r="K23" s="34">
        <f>-H23+K22</f>
        <v>-1574.96</v>
      </c>
    </row>
    <row r="24" ht="20.05" customHeight="1">
      <c r="B24" s="37">
        <v>2021</v>
      </c>
      <c r="C24" s="33">
        <v>1186.8</v>
      </c>
      <c r="D24" s="34">
        <v>180.5</v>
      </c>
      <c r="E24" s="34">
        <v>-200.6</v>
      </c>
      <c r="F24" s="34">
        <v>-69.389</v>
      </c>
      <c r="G24" s="34"/>
      <c r="H24" s="34">
        <v>-69.40000000000001</v>
      </c>
      <c r="I24" s="34">
        <f>D24+E24</f>
        <v>-20.1</v>
      </c>
      <c r="J24" s="34">
        <f>AVERAGE(I21:I24)</f>
        <v>1.7</v>
      </c>
      <c r="K24" s="34">
        <f>-(F24+G24)+K23</f>
        <v>-1505.571</v>
      </c>
    </row>
    <row r="25" ht="20.05" customHeight="1">
      <c r="B25" s="32"/>
      <c r="C25" s="33">
        <f>2606.6-C24</f>
        <v>1419.8</v>
      </c>
      <c r="D25" s="34">
        <f>534-D24</f>
        <v>353.5</v>
      </c>
      <c r="E25" s="34">
        <f>-319.3-E24</f>
        <v>-118.7</v>
      </c>
      <c r="F25" s="34">
        <f>-382.203-F24-G25-G24</f>
        <v>-22.387</v>
      </c>
      <c r="G25" s="34">
        <v>-290.427</v>
      </c>
      <c r="H25" s="34">
        <f>-382.2-H24</f>
        <v>-312.8</v>
      </c>
      <c r="I25" s="34">
        <f>D25+E25</f>
        <v>234.8</v>
      </c>
      <c r="J25" s="34">
        <f>AVERAGE(I22:I25)</f>
        <v>51.275</v>
      </c>
      <c r="K25" s="34">
        <f>-(F25+G25)+K24</f>
        <v>-1192.757</v>
      </c>
    </row>
    <row r="26" ht="20.05" customHeight="1">
      <c r="B26" s="32"/>
      <c r="C26" s="33">
        <f>3956.6-SUM(C24:C25)</f>
        <v>1350</v>
      </c>
      <c r="D26" s="34">
        <f>732.4-SUM(D24:D25)</f>
        <v>198.4</v>
      </c>
      <c r="E26" s="34">
        <f>-523.9-SUM(E24:E25)</f>
        <v>-204.6</v>
      </c>
      <c r="F26" s="34">
        <f>-424.106-F25-F24-G26-G25-G24</f>
        <v>-41.903</v>
      </c>
      <c r="G26" s="34">
        <f>-290.427-G25-G24</f>
        <v>0</v>
      </c>
      <c r="H26" s="34">
        <f>-424.1-SUM(H24:H25)</f>
        <v>-41.9</v>
      </c>
      <c r="I26" s="34">
        <f>D26+E26</f>
        <v>-6.2</v>
      </c>
      <c r="J26" s="34">
        <f>AVERAGE(I23:I26)</f>
        <v>114.525</v>
      </c>
      <c r="K26" s="34">
        <f>-(F26+G26)+K25</f>
        <v>-1150.854</v>
      </c>
    </row>
    <row r="27" ht="20.05" customHeight="1">
      <c r="B27" s="32"/>
      <c r="C27" s="33"/>
      <c r="D27" s="34"/>
      <c r="E27" s="34"/>
      <c r="F27" s="34"/>
      <c r="G27" s="34"/>
      <c r="H27" s="34"/>
      <c r="I27" s="34"/>
      <c r="J27" s="34">
        <f>'Model'!F9+'Model'!F10</f>
        <v>189.4574567</v>
      </c>
      <c r="K27" s="34">
        <f>'Model'!F32</f>
        <v>-486.8065333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73438" style="43" customWidth="1"/>
    <col min="2" max="10" width="9.8125" style="43" customWidth="1"/>
    <col min="11" max="16384" width="16.3516" style="43" customWidth="1"/>
  </cols>
  <sheetData>
    <row r="1" ht="27.65" customHeight="1">
      <c r="A1" t="s" s="24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ht="32.25" customHeight="1">
      <c r="A2" t="s" s="25">
        <v>1</v>
      </c>
      <c r="B2" t="s" s="25">
        <v>53</v>
      </c>
      <c r="C2" t="s" s="25">
        <v>54</v>
      </c>
      <c r="D2" t="s" s="25">
        <v>55</v>
      </c>
      <c r="E2" t="s" s="25">
        <v>23</v>
      </c>
      <c r="F2" t="s" s="25">
        <v>11</v>
      </c>
      <c r="G2" t="s" s="25">
        <v>12</v>
      </c>
      <c r="H2" t="s" s="25">
        <v>25</v>
      </c>
      <c r="I2" t="s" s="25">
        <v>56</v>
      </c>
      <c r="J2" t="s" s="25">
        <v>33</v>
      </c>
    </row>
    <row r="3" ht="20.25" customHeight="1">
      <c r="A3" s="26">
        <v>2016</v>
      </c>
      <c r="B3" s="27">
        <v>561</v>
      </c>
      <c r="C3" s="28">
        <v>7070</v>
      </c>
      <c r="D3" s="28">
        <f>C3-B3</f>
        <v>6509</v>
      </c>
      <c r="E3" s="28"/>
      <c r="F3" s="28">
        <v>3887</v>
      </c>
      <c r="G3" s="28">
        <v>3183</v>
      </c>
      <c r="H3" s="28">
        <f>F3+G3-B3-D3</f>
        <v>0</v>
      </c>
      <c r="I3" s="28">
        <f>B3-F3</f>
        <v>-3326</v>
      </c>
      <c r="J3" s="28"/>
    </row>
    <row r="4" ht="20.05" customHeight="1">
      <c r="A4" s="32"/>
      <c r="B4" s="33">
        <v>315</v>
      </c>
      <c r="C4" s="34">
        <v>6641</v>
      </c>
      <c r="D4" s="34">
        <f>C4-B4</f>
        <v>6326</v>
      </c>
      <c r="E4" s="34"/>
      <c r="F4" s="34">
        <v>3581</v>
      </c>
      <c r="G4" s="34">
        <v>3060</v>
      </c>
      <c r="H4" s="34">
        <f>F4+G4-B4-D4</f>
        <v>0</v>
      </c>
      <c r="I4" s="34">
        <f>B4-F4</f>
        <v>-3266</v>
      </c>
      <c r="J4" s="34"/>
    </row>
    <row r="5" ht="20.05" customHeight="1">
      <c r="A5" s="44"/>
      <c r="B5" s="45"/>
      <c r="C5" s="46">
        <v>0</v>
      </c>
      <c r="D5" s="46">
        <f>C5-B5</f>
        <v>0</v>
      </c>
      <c r="E5" s="46"/>
      <c r="F5" s="34">
        <v>0</v>
      </c>
      <c r="G5" s="47"/>
      <c r="H5" s="34">
        <f>F5+G5-B5-D5</f>
        <v>0</v>
      </c>
      <c r="I5" s="34"/>
      <c r="J5" s="48"/>
    </row>
    <row r="6" ht="20.05" customHeight="1">
      <c r="A6" s="32"/>
      <c r="B6" s="33">
        <v>162</v>
      </c>
      <c r="C6" s="34">
        <v>7162</v>
      </c>
      <c r="D6" s="34">
        <f>C6-B6</f>
        <v>7000</v>
      </c>
      <c r="E6" s="34">
        <f>1267.8+0.4</f>
        <v>1268.2</v>
      </c>
      <c r="F6" s="34">
        <v>3709</v>
      </c>
      <c r="G6" s="34">
        <v>3453</v>
      </c>
      <c r="H6" s="34">
        <f>F6+G6-B6-D6</f>
        <v>0</v>
      </c>
      <c r="I6" s="34">
        <f>B6-F6</f>
        <v>-3547</v>
      </c>
      <c r="J6" s="34"/>
    </row>
    <row r="7" ht="20.05" customHeight="1">
      <c r="A7" s="37">
        <v>2017</v>
      </c>
      <c r="B7" s="33">
        <v>284</v>
      </c>
      <c r="C7" s="34">
        <v>8261</v>
      </c>
      <c r="D7" s="34">
        <f>C7-B7</f>
        <v>7977</v>
      </c>
      <c r="E7" s="34">
        <f>0.4+575+757.3</f>
        <v>1332.7</v>
      </c>
      <c r="F7" s="34">
        <v>4563</v>
      </c>
      <c r="G7" s="34">
        <v>3698</v>
      </c>
      <c r="H7" s="34">
        <f>F7+G7-B7-D7</f>
        <v>0</v>
      </c>
      <c r="I7" s="34">
        <f>B7-F7</f>
        <v>-4279</v>
      </c>
      <c r="J7" s="34"/>
    </row>
    <row r="8" ht="20.05" customHeight="1">
      <c r="A8" s="32"/>
      <c r="B8" s="33">
        <v>1296</v>
      </c>
      <c r="C8" s="34">
        <v>9270</v>
      </c>
      <c r="D8" s="34">
        <f>C8-B8</f>
        <v>7974</v>
      </c>
      <c r="E8" s="34">
        <f>0.4+612.4+786</f>
        <v>1398.8</v>
      </c>
      <c r="F8" s="34">
        <v>5643</v>
      </c>
      <c r="G8" s="34">
        <v>3627</v>
      </c>
      <c r="H8" s="34">
        <f>F8+G8-B8-D8</f>
        <v>0</v>
      </c>
      <c r="I8" s="34">
        <f>B8-F8</f>
        <v>-4347</v>
      </c>
      <c r="J8" s="34"/>
    </row>
    <row r="9" ht="20.05" customHeight="1">
      <c r="A9" s="32"/>
      <c r="B9" s="33">
        <v>1008</v>
      </c>
      <c r="C9" s="34">
        <v>9445</v>
      </c>
      <c r="D9" s="34">
        <f>C9-B9</f>
        <v>8437</v>
      </c>
      <c r="E9" s="34">
        <f>0.6+647.7+815.8</f>
        <v>1464.1</v>
      </c>
      <c r="F9" s="34">
        <v>5539</v>
      </c>
      <c r="G9" s="34">
        <v>3906</v>
      </c>
      <c r="H9" s="34">
        <f>F9+G9-B9-D9</f>
        <v>0</v>
      </c>
      <c r="I9" s="34">
        <f>B9-F9</f>
        <v>-4531</v>
      </c>
      <c r="J9" s="34"/>
    </row>
    <row r="10" ht="20.05" customHeight="1">
      <c r="A10" s="32"/>
      <c r="B10" s="33">
        <v>2201</v>
      </c>
      <c r="C10" s="34">
        <v>9624</v>
      </c>
      <c r="D10" s="34">
        <f>C10-B10</f>
        <v>7423</v>
      </c>
      <c r="E10" s="34">
        <f>1528.6+0.5</f>
        <v>1529.1</v>
      </c>
      <c r="F10" s="34">
        <v>5570</v>
      </c>
      <c r="G10" s="34">
        <v>4053</v>
      </c>
      <c r="H10" s="34">
        <f>F10+G10-B10-D10</f>
        <v>-1</v>
      </c>
      <c r="I10" s="34">
        <f>B10-F10</f>
        <v>-3369</v>
      </c>
      <c r="J10" s="34"/>
    </row>
    <row r="11" ht="20.05" customHeight="1">
      <c r="A11" s="37">
        <v>2018</v>
      </c>
      <c r="B11" s="33">
        <v>2303</v>
      </c>
      <c r="C11" s="34">
        <v>10683</v>
      </c>
      <c r="D11" s="34">
        <f>C11-B11</f>
        <v>8380</v>
      </c>
      <c r="E11" s="34">
        <f>1595.1+0.5</f>
        <v>1595.6</v>
      </c>
      <c r="F11" s="34">
        <v>6275</v>
      </c>
      <c r="G11" s="34">
        <v>4407</v>
      </c>
      <c r="H11" s="34">
        <f>F11+G11-B11-D11</f>
        <v>-1</v>
      </c>
      <c r="I11" s="34">
        <f>B11-F11</f>
        <v>-3972</v>
      </c>
      <c r="J11" s="34"/>
    </row>
    <row r="12" ht="20.05" customHeight="1">
      <c r="A12" s="32"/>
      <c r="B12" s="33">
        <v>2324</v>
      </c>
      <c r="C12" s="34">
        <v>10786</v>
      </c>
      <c r="D12" s="34">
        <f>C12-B12</f>
        <v>8462</v>
      </c>
      <c r="E12" s="34">
        <f>1659.3+0.6</f>
        <v>1659.9</v>
      </c>
      <c r="F12" s="34">
        <v>6488</v>
      </c>
      <c r="G12" s="34">
        <v>4298</v>
      </c>
      <c r="H12" s="34">
        <f>F12+G12-B12-D12</f>
        <v>0</v>
      </c>
      <c r="I12" s="34">
        <f>B12-F12</f>
        <v>-4164</v>
      </c>
      <c r="J12" s="34"/>
    </row>
    <row r="13" ht="20.05" customHeight="1">
      <c r="A13" s="32"/>
      <c r="B13" s="33">
        <v>2083</v>
      </c>
      <c r="C13" s="34">
        <v>10999</v>
      </c>
      <c r="D13" s="34">
        <f>C13-B13</f>
        <v>8916</v>
      </c>
      <c r="E13" s="34">
        <f>1720+0.6</f>
        <v>1720.6</v>
      </c>
      <c r="F13" s="34">
        <v>6660</v>
      </c>
      <c r="G13" s="34">
        <v>4339</v>
      </c>
      <c r="H13" s="34">
        <f>F13+G13-B13-D13</f>
        <v>0</v>
      </c>
      <c r="I13" s="34">
        <f>B13-F13</f>
        <v>-4577</v>
      </c>
      <c r="J13" s="34"/>
    </row>
    <row r="14" ht="20.05" customHeight="1">
      <c r="A14" s="32"/>
      <c r="B14" s="33">
        <v>2305</v>
      </c>
      <c r="C14" s="34">
        <v>11296</v>
      </c>
      <c r="D14" s="34">
        <f>C14-B14</f>
        <v>8991</v>
      </c>
      <c r="E14" s="34">
        <f>1796+1</f>
        <v>1797</v>
      </c>
      <c r="F14" s="34">
        <v>7226</v>
      </c>
      <c r="G14" s="34">
        <v>4070</v>
      </c>
      <c r="H14" s="34">
        <f>F14+G14-B14-D14</f>
        <v>0</v>
      </c>
      <c r="I14" s="34">
        <f>B14-F14</f>
        <v>-4921</v>
      </c>
      <c r="J14" s="34"/>
    </row>
    <row r="15" ht="20.05" customHeight="1">
      <c r="A15" s="37">
        <v>2019</v>
      </c>
      <c r="B15" s="33">
        <v>1897</v>
      </c>
      <c r="C15" s="34">
        <v>11131</v>
      </c>
      <c r="D15" s="34">
        <f>C15-B15</f>
        <v>9234</v>
      </c>
      <c r="E15" s="34">
        <f>0.7+1862.5</f>
        <v>1863.2</v>
      </c>
      <c r="F15" s="34">
        <v>6942</v>
      </c>
      <c r="G15" s="34">
        <v>4188</v>
      </c>
      <c r="H15" s="34">
        <f>F15+G15-B15-D15</f>
        <v>-1</v>
      </c>
      <c r="I15" s="34">
        <f>B15-F15</f>
        <v>-5045</v>
      </c>
      <c r="J15" s="34"/>
    </row>
    <row r="16" ht="20.05" customHeight="1">
      <c r="A16" s="32"/>
      <c r="B16" s="33">
        <v>1834</v>
      </c>
      <c r="C16" s="34">
        <v>11244</v>
      </c>
      <c r="D16" s="34">
        <f>C16-B16</f>
        <v>9410</v>
      </c>
      <c r="E16" s="34">
        <f>1933+2</f>
        <v>1935</v>
      </c>
      <c r="F16" s="34">
        <v>7219</v>
      </c>
      <c r="G16" s="34">
        <v>4025</v>
      </c>
      <c r="H16" s="34">
        <f>F16+G16-B16-D16</f>
        <v>0</v>
      </c>
      <c r="I16" s="34">
        <f>B16-F16</f>
        <v>-5385</v>
      </c>
      <c r="J16" s="34"/>
    </row>
    <row r="17" ht="20.05" customHeight="1">
      <c r="A17" s="32"/>
      <c r="B17" s="33">
        <v>1844</v>
      </c>
      <c r="C17" s="34">
        <v>11780</v>
      </c>
      <c r="D17" s="34">
        <f>C17-B17</f>
        <v>9936</v>
      </c>
      <c r="E17" s="34">
        <f>2012+2</f>
        <v>2014</v>
      </c>
      <c r="F17" s="34">
        <v>7706</v>
      </c>
      <c r="G17" s="34">
        <v>4074</v>
      </c>
      <c r="H17" s="34">
        <f>F17+G17-B17-D17</f>
        <v>0</v>
      </c>
      <c r="I17" s="34">
        <f>B17-F17</f>
        <v>-5862</v>
      </c>
      <c r="J17" s="34"/>
    </row>
    <row r="18" ht="20.05" customHeight="1">
      <c r="A18" s="32"/>
      <c r="B18" s="33">
        <v>2202</v>
      </c>
      <c r="C18" s="34">
        <v>11846</v>
      </c>
      <c r="D18" s="34">
        <f>C18-B18</f>
        <v>9644</v>
      </c>
      <c r="E18" s="34">
        <f>2093+3</f>
        <v>2096</v>
      </c>
      <c r="F18" s="34">
        <v>7777</v>
      </c>
      <c r="G18" s="34">
        <v>4069</v>
      </c>
      <c r="H18" s="34">
        <f>F18+G18-B18-D18</f>
        <v>0</v>
      </c>
      <c r="I18" s="34">
        <f>B18-F18</f>
        <v>-5575</v>
      </c>
      <c r="J18" s="48"/>
    </row>
    <row r="19" ht="20.05" customHeight="1">
      <c r="A19" s="37">
        <v>2020</v>
      </c>
      <c r="B19" s="33">
        <v>2218</v>
      </c>
      <c r="C19" s="34">
        <v>12010</v>
      </c>
      <c r="D19" s="34">
        <f>C19-B19</f>
        <v>9792</v>
      </c>
      <c r="E19" s="34">
        <f>2169+1+3</f>
        <v>2173</v>
      </c>
      <c r="F19" s="34">
        <v>8297</v>
      </c>
      <c r="G19" s="34">
        <v>3713</v>
      </c>
      <c r="H19" s="34">
        <f>F19+G19-B19-D19</f>
        <v>0</v>
      </c>
      <c r="I19" s="34">
        <f>B19-F19</f>
        <v>-6079</v>
      </c>
      <c r="J19" s="48"/>
    </row>
    <row r="20" ht="20.05" customHeight="1">
      <c r="A20" s="32"/>
      <c r="B20" s="33">
        <v>1997</v>
      </c>
      <c r="C20" s="34">
        <v>11454</v>
      </c>
      <c r="D20" s="34">
        <f>C20-B20</f>
        <v>9457</v>
      </c>
      <c r="E20" s="34">
        <f>2248+4</f>
        <v>2252</v>
      </c>
      <c r="F20" s="34">
        <v>7571</v>
      </c>
      <c r="G20" s="34">
        <v>3883</v>
      </c>
      <c r="H20" s="34">
        <f>F20+G20-B20-D20</f>
        <v>0</v>
      </c>
      <c r="I20" s="34">
        <f>B20-F20</f>
        <v>-5574</v>
      </c>
      <c r="J20" s="48"/>
    </row>
    <row r="21" ht="20.05" customHeight="1">
      <c r="A21" s="32"/>
      <c r="B21" s="33">
        <v>1902</v>
      </c>
      <c r="C21" s="34">
        <v>11924</v>
      </c>
      <c r="D21" s="34">
        <f>C21-B21</f>
        <v>10022</v>
      </c>
      <c r="E21" s="34">
        <f>2331+4</f>
        <v>2335</v>
      </c>
      <c r="F21" s="34">
        <v>7889</v>
      </c>
      <c r="G21" s="34">
        <v>4035</v>
      </c>
      <c r="H21" s="34">
        <f>F21+G21-B21-D21</f>
        <v>0</v>
      </c>
      <c r="I21" s="34">
        <f>B21-F21</f>
        <v>-5987</v>
      </c>
      <c r="J21" s="48"/>
    </row>
    <row r="22" ht="20.05" customHeight="1">
      <c r="A22" s="32"/>
      <c r="B22" s="33">
        <v>1908</v>
      </c>
      <c r="C22" s="34">
        <v>12776</v>
      </c>
      <c r="D22" s="34">
        <f>C22-B22</f>
        <v>10868</v>
      </c>
      <c r="E22" s="34">
        <f>6+2413+4</f>
        <v>2423</v>
      </c>
      <c r="F22" s="34">
        <v>7905</v>
      </c>
      <c r="G22" s="34">
        <v>4871</v>
      </c>
      <c r="H22" s="34">
        <f>F22+G22-B22-D22</f>
        <v>0</v>
      </c>
      <c r="I22" s="34">
        <f>B22-F22</f>
        <v>-5997</v>
      </c>
      <c r="J22" s="48"/>
    </row>
    <row r="23" ht="20.05" customHeight="1">
      <c r="A23" s="37">
        <v>2021</v>
      </c>
      <c r="B23" s="33">
        <v>1785</v>
      </c>
      <c r="C23" s="34">
        <v>12925</v>
      </c>
      <c r="D23" s="34">
        <f>C23-B23</f>
        <v>11140</v>
      </c>
      <c r="E23" s="34">
        <v>2492</v>
      </c>
      <c r="F23" s="34">
        <v>7872</v>
      </c>
      <c r="G23" s="34">
        <v>5053</v>
      </c>
      <c r="H23" s="34">
        <f>F23+G23-B23-D23</f>
        <v>0</v>
      </c>
      <c r="I23" s="34">
        <f>B23-F23</f>
        <v>-6087</v>
      </c>
      <c r="J23" s="34"/>
    </row>
    <row r="24" ht="20.05" customHeight="1">
      <c r="A24" s="32"/>
      <c r="B24" s="33">
        <v>1742</v>
      </c>
      <c r="C24" s="34">
        <v>13240</v>
      </c>
      <c r="D24" s="34">
        <f>C24-B24</f>
        <v>11498</v>
      </c>
      <c r="E24" s="34">
        <f>2571</f>
        <v>2571</v>
      </c>
      <c r="F24" s="34">
        <v>7945</v>
      </c>
      <c r="G24" s="34">
        <v>5295</v>
      </c>
      <c r="H24" s="34">
        <f>F24+G24-B24-D24</f>
        <v>0</v>
      </c>
      <c r="I24" s="34">
        <f>B24-F24</f>
        <v>-6203</v>
      </c>
      <c r="J24" s="34"/>
    </row>
    <row r="25" ht="20.05" customHeight="1">
      <c r="A25" s="32"/>
      <c r="B25" s="33">
        <v>1720</v>
      </c>
      <c r="C25" s="34">
        <v>13394</v>
      </c>
      <c r="D25" s="34">
        <f>C25-B25</f>
        <v>11674</v>
      </c>
      <c r="E25" s="34">
        <f>2643+8+5</f>
        <v>2656</v>
      </c>
      <c r="F25" s="34">
        <v>7752</v>
      </c>
      <c r="G25" s="34">
        <v>5642</v>
      </c>
      <c r="H25" s="34">
        <f>F25+G25-B25-D25</f>
        <v>0</v>
      </c>
      <c r="I25" s="34">
        <f>B25-F25</f>
        <v>-6032</v>
      </c>
      <c r="J25" s="34">
        <f>I25</f>
        <v>-6032</v>
      </c>
    </row>
    <row r="26" ht="20.05" customHeight="1">
      <c r="A26" s="32"/>
      <c r="B26" s="33"/>
      <c r="C26" s="34"/>
      <c r="D26" s="34">
        <f>C26-B26</f>
        <v>0</v>
      </c>
      <c r="E26" s="34"/>
      <c r="F26" s="34"/>
      <c r="G26" s="34"/>
      <c r="H26" s="34"/>
      <c r="I26" s="34"/>
      <c r="J26" s="34">
        <f>'Model'!F30</f>
        <v>-5469.49727997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9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74219" style="49" customWidth="1"/>
    <col min="2" max="3" width="8.46875" style="49" customWidth="1"/>
    <col min="4" max="16384" width="16.3516" style="49" customWidth="1"/>
  </cols>
  <sheetData>
    <row r="1" ht="27.65" customHeight="1">
      <c r="A1" t="s" s="24">
        <v>57</v>
      </c>
      <c r="B1" s="24"/>
      <c r="C1" s="24"/>
    </row>
    <row r="2" ht="20.25" customHeight="1">
      <c r="A2" s="50"/>
      <c r="B2" t="s" s="51">
        <v>57</v>
      </c>
      <c r="C2" t="s" s="51">
        <v>58</v>
      </c>
    </row>
    <row r="3" ht="20.25" customHeight="1">
      <c r="A3" s="26">
        <v>2014</v>
      </c>
      <c r="B3" s="27">
        <v>840</v>
      </c>
      <c r="C3" s="28"/>
    </row>
    <row r="4" ht="20.05" customHeight="1">
      <c r="A4" s="32"/>
      <c r="B4" s="33">
        <v>995</v>
      </c>
      <c r="C4" s="34"/>
    </row>
    <row r="5" ht="20.05" customHeight="1">
      <c r="A5" s="32"/>
      <c r="B5" s="33">
        <v>1035</v>
      </c>
      <c r="C5" s="34"/>
    </row>
    <row r="6" ht="20.05" customHeight="1">
      <c r="A6" s="32"/>
      <c r="B6" s="33">
        <v>1200</v>
      </c>
      <c r="C6" s="34"/>
    </row>
    <row r="7" ht="20.05" customHeight="1">
      <c r="A7" s="32"/>
      <c r="B7" s="33">
        <v>1245</v>
      </c>
      <c r="C7" s="34"/>
    </row>
    <row r="8" ht="20.05" customHeight="1">
      <c r="A8" s="32"/>
      <c r="B8" s="33">
        <v>1245</v>
      </c>
      <c r="C8" s="34"/>
    </row>
    <row r="9" ht="20.05" customHeight="1">
      <c r="A9" s="32"/>
      <c r="B9" s="33">
        <v>1265</v>
      </c>
      <c r="C9" s="34"/>
    </row>
    <row r="10" ht="20.05" customHeight="1">
      <c r="A10" s="32"/>
      <c r="B10" s="33">
        <v>1305</v>
      </c>
      <c r="C10" s="34"/>
    </row>
    <row r="11" ht="20.05" customHeight="1">
      <c r="A11" s="32"/>
      <c r="B11" s="33">
        <v>1265</v>
      </c>
      <c r="C11" s="34"/>
    </row>
    <row r="12" ht="20.05" customHeight="1">
      <c r="A12" s="32"/>
      <c r="B12" s="33">
        <v>1245</v>
      </c>
      <c r="C12" s="34"/>
    </row>
    <row r="13" ht="20.05" customHeight="1">
      <c r="A13" s="32"/>
      <c r="B13" s="33">
        <v>1460</v>
      </c>
      <c r="C13" s="34"/>
    </row>
    <row r="14" ht="20.05" customHeight="1">
      <c r="A14" s="32"/>
      <c r="B14" s="33">
        <v>1665</v>
      </c>
      <c r="C14" s="34"/>
    </row>
    <row r="15" ht="20.05" customHeight="1">
      <c r="A15" s="37">
        <v>2015</v>
      </c>
      <c r="B15" s="33">
        <v>1650</v>
      </c>
      <c r="C15" s="34"/>
    </row>
    <row r="16" ht="20.05" customHeight="1">
      <c r="A16" s="32"/>
      <c r="B16" s="33">
        <v>1985</v>
      </c>
      <c r="C16" s="34"/>
    </row>
    <row r="17" ht="20.05" customHeight="1">
      <c r="A17" s="32"/>
      <c r="B17" s="33">
        <v>1990</v>
      </c>
      <c r="C17" s="34"/>
    </row>
    <row r="18" ht="20.05" customHeight="1">
      <c r="A18" s="32"/>
      <c r="B18" s="33">
        <v>1900</v>
      </c>
      <c r="C18" s="34"/>
    </row>
    <row r="19" ht="20.05" customHeight="1">
      <c r="A19" s="32"/>
      <c r="B19" s="33">
        <v>2350</v>
      </c>
      <c r="C19" s="34"/>
    </row>
    <row r="20" ht="20.05" customHeight="1">
      <c r="A20" s="32"/>
      <c r="B20" s="33">
        <v>1845</v>
      </c>
      <c r="C20" s="34"/>
    </row>
    <row r="21" ht="20.05" customHeight="1">
      <c r="A21" s="32"/>
      <c r="B21" s="33">
        <v>1965</v>
      </c>
      <c r="C21" s="34"/>
    </row>
    <row r="22" ht="20.05" customHeight="1">
      <c r="A22" s="32"/>
      <c r="B22" s="33">
        <v>1615</v>
      </c>
      <c r="C22" s="34"/>
    </row>
    <row r="23" ht="20.05" customHeight="1">
      <c r="A23" s="32"/>
      <c r="B23" s="33">
        <v>1615</v>
      </c>
      <c r="C23" s="34"/>
    </row>
    <row r="24" ht="20.05" customHeight="1">
      <c r="A24" s="32"/>
      <c r="B24" s="33">
        <v>1900</v>
      </c>
      <c r="C24" s="34"/>
    </row>
    <row r="25" ht="20.05" customHeight="1">
      <c r="A25" s="32"/>
      <c r="B25" s="33">
        <v>1580</v>
      </c>
      <c r="C25" s="34"/>
    </row>
    <row r="26" ht="20.05" customHeight="1">
      <c r="A26" s="32"/>
      <c r="B26" s="33">
        <v>1950</v>
      </c>
      <c r="C26" s="34"/>
    </row>
    <row r="27" ht="20.05" customHeight="1">
      <c r="A27" s="37">
        <v>2016</v>
      </c>
      <c r="B27" s="33">
        <v>1985</v>
      </c>
      <c r="C27" s="34"/>
    </row>
    <row r="28" ht="20.05" customHeight="1">
      <c r="A28" s="32"/>
      <c r="B28" s="33">
        <v>1980</v>
      </c>
      <c r="C28" s="34"/>
    </row>
    <row r="29" ht="20.05" customHeight="1">
      <c r="A29" s="32"/>
      <c r="B29" s="33">
        <v>1925</v>
      </c>
      <c r="C29" s="34"/>
    </row>
    <row r="30" ht="20.05" customHeight="1">
      <c r="A30" s="32"/>
      <c r="B30" s="33">
        <v>1855</v>
      </c>
      <c r="C30" s="34"/>
    </row>
    <row r="31" ht="20.05" customHeight="1">
      <c r="A31" s="32"/>
      <c r="B31" s="33">
        <v>1760</v>
      </c>
      <c r="C31" s="34"/>
    </row>
    <row r="32" ht="20.05" customHeight="1">
      <c r="A32" s="32"/>
      <c r="B32" s="33">
        <v>1880</v>
      </c>
      <c r="C32" s="34"/>
    </row>
    <row r="33" ht="20.05" customHeight="1">
      <c r="A33" s="32"/>
      <c r="B33" s="33">
        <v>1675</v>
      </c>
      <c r="C33" s="34"/>
    </row>
    <row r="34" ht="20.05" customHeight="1">
      <c r="A34" s="32"/>
      <c r="B34" s="33">
        <v>1675</v>
      </c>
      <c r="C34" s="34"/>
    </row>
    <row r="35" ht="20.05" customHeight="1">
      <c r="A35" s="32"/>
      <c r="B35" s="33">
        <v>1555</v>
      </c>
      <c r="C35" s="34"/>
    </row>
    <row r="36" ht="20.05" customHeight="1">
      <c r="A36" s="32"/>
      <c r="B36" s="33">
        <v>1520</v>
      </c>
      <c r="C36" s="34"/>
    </row>
    <row r="37" ht="20.05" customHeight="1">
      <c r="A37" s="32"/>
      <c r="B37" s="33">
        <v>1370</v>
      </c>
      <c r="C37" s="34"/>
    </row>
    <row r="38" ht="20.05" customHeight="1">
      <c r="A38" s="32"/>
      <c r="B38" s="33">
        <v>1400</v>
      </c>
      <c r="C38" s="34"/>
    </row>
    <row r="39" ht="20.05" customHeight="1">
      <c r="A39" s="37">
        <v>2017</v>
      </c>
      <c r="B39" s="33">
        <v>1620</v>
      </c>
      <c r="C39" s="34"/>
    </row>
    <row r="40" ht="20.05" customHeight="1">
      <c r="A40" s="32"/>
      <c r="B40" s="33">
        <v>1525</v>
      </c>
      <c r="C40" s="34"/>
    </row>
    <row r="41" ht="20.05" customHeight="1">
      <c r="A41" s="32"/>
      <c r="B41" s="33">
        <v>1655</v>
      </c>
      <c r="C41" s="34"/>
    </row>
    <row r="42" ht="20.05" customHeight="1">
      <c r="A42" s="32"/>
      <c r="B42" s="33">
        <v>1750</v>
      </c>
      <c r="C42" s="34"/>
    </row>
    <row r="43" ht="20.05" customHeight="1">
      <c r="A43" s="32"/>
      <c r="B43" s="33">
        <v>1790</v>
      </c>
      <c r="C43" s="34"/>
    </row>
    <row r="44" ht="20.05" customHeight="1">
      <c r="A44" s="32"/>
      <c r="B44" s="33">
        <v>1680</v>
      </c>
      <c r="C44" s="34"/>
    </row>
    <row r="45" ht="20.05" customHeight="1">
      <c r="A45" s="32"/>
      <c r="B45" s="33">
        <v>1465</v>
      </c>
      <c r="C45" s="34"/>
    </row>
    <row r="46" ht="20.05" customHeight="1">
      <c r="A46" s="32"/>
      <c r="B46" s="33">
        <v>1500</v>
      </c>
      <c r="C46" s="34"/>
    </row>
    <row r="47" ht="20.05" customHeight="1">
      <c r="A47" s="32"/>
      <c r="B47" s="33">
        <v>1520</v>
      </c>
      <c r="C47" s="34"/>
    </row>
    <row r="48" ht="20.05" customHeight="1">
      <c r="A48" s="32"/>
      <c r="B48" s="33">
        <v>1495</v>
      </c>
      <c r="C48" s="34"/>
    </row>
    <row r="49" ht="20.05" customHeight="1">
      <c r="A49" s="32"/>
      <c r="B49" s="33">
        <v>1495</v>
      </c>
      <c r="C49" s="34"/>
    </row>
    <row r="50" ht="20.05" customHeight="1">
      <c r="A50" s="32"/>
      <c r="B50" s="33">
        <v>1500</v>
      </c>
      <c r="C50" s="34"/>
    </row>
    <row r="51" ht="20.05" customHeight="1">
      <c r="A51" s="37">
        <v>2018</v>
      </c>
      <c r="B51" s="33">
        <v>1490</v>
      </c>
      <c r="C51" s="34"/>
    </row>
    <row r="52" ht="20.05" customHeight="1">
      <c r="A52" s="32"/>
      <c r="B52" s="33">
        <v>1445</v>
      </c>
      <c r="C52" s="34"/>
    </row>
    <row r="53" ht="20.05" customHeight="1">
      <c r="A53" s="32"/>
      <c r="B53" s="33">
        <v>1415</v>
      </c>
      <c r="C53" s="34"/>
    </row>
    <row r="54" ht="20.05" customHeight="1">
      <c r="A54" s="32"/>
      <c r="B54" s="33">
        <v>1310</v>
      </c>
      <c r="C54" s="34"/>
    </row>
    <row r="55" ht="20.05" customHeight="1">
      <c r="A55" s="32"/>
      <c r="B55" s="33">
        <v>1195</v>
      </c>
      <c r="C55" s="34"/>
    </row>
    <row r="56" ht="20.05" customHeight="1">
      <c r="A56" s="32"/>
      <c r="B56" s="33">
        <v>1270</v>
      </c>
      <c r="C56" s="34"/>
    </row>
    <row r="57" ht="20.05" customHeight="1">
      <c r="A57" s="32"/>
      <c r="B57" s="33">
        <v>1235</v>
      </c>
      <c r="C57" s="34"/>
    </row>
    <row r="58" ht="20.05" customHeight="1">
      <c r="A58" s="32"/>
      <c r="B58" s="33">
        <v>1300</v>
      </c>
      <c r="C58" s="34"/>
    </row>
    <row r="59" ht="20.05" customHeight="1">
      <c r="A59" s="32"/>
      <c r="B59" s="33">
        <v>1290</v>
      </c>
      <c r="C59" s="34"/>
    </row>
    <row r="60" ht="20.05" customHeight="1">
      <c r="A60" s="32"/>
      <c r="B60" s="33">
        <v>1260</v>
      </c>
      <c r="C60" s="34"/>
    </row>
    <row r="61" ht="20.05" customHeight="1">
      <c r="A61" s="32"/>
      <c r="B61" s="33">
        <v>1195</v>
      </c>
      <c r="C61" s="34"/>
    </row>
    <row r="62" ht="20.05" customHeight="1">
      <c r="A62" s="32"/>
      <c r="B62" s="33">
        <v>1250</v>
      </c>
      <c r="C62" s="34"/>
    </row>
    <row r="63" ht="20.05" customHeight="1">
      <c r="A63" s="37">
        <v>2019</v>
      </c>
      <c r="B63" s="33">
        <v>1185</v>
      </c>
      <c r="C63" s="34"/>
    </row>
    <row r="64" ht="20.05" customHeight="1">
      <c r="A64" s="32"/>
      <c r="B64" s="33">
        <v>1090</v>
      </c>
      <c r="C64" s="34"/>
    </row>
    <row r="65" ht="20.05" customHeight="1">
      <c r="A65" s="32"/>
      <c r="B65" s="33">
        <v>1065</v>
      </c>
      <c r="C65" s="34"/>
    </row>
    <row r="66" ht="20.05" customHeight="1">
      <c r="A66" s="32"/>
      <c r="B66" s="33">
        <v>1085</v>
      </c>
      <c r="C66" s="34"/>
    </row>
    <row r="67" ht="20.05" customHeight="1">
      <c r="A67" s="32"/>
      <c r="B67" s="33">
        <v>1030</v>
      </c>
      <c r="C67" s="34"/>
    </row>
    <row r="68" ht="20.05" customHeight="1">
      <c r="A68" s="32"/>
      <c r="B68" s="33">
        <v>1025</v>
      </c>
      <c r="C68" s="34"/>
    </row>
    <row r="69" ht="20.05" customHeight="1">
      <c r="A69" s="32"/>
      <c r="B69" s="33">
        <v>1010</v>
      </c>
      <c r="C69" s="34"/>
    </row>
    <row r="70" ht="20.05" customHeight="1">
      <c r="A70" s="32"/>
      <c r="B70" s="33">
        <v>915</v>
      </c>
      <c r="C70" s="34"/>
    </row>
    <row r="71" ht="20.05" customHeight="1">
      <c r="A71" s="32"/>
      <c r="B71" s="33">
        <v>935</v>
      </c>
      <c r="C71" s="34"/>
    </row>
    <row r="72" ht="20.05" customHeight="1">
      <c r="A72" s="32"/>
      <c r="B72" s="33">
        <v>810</v>
      </c>
      <c r="C72" s="34"/>
    </row>
    <row r="73" ht="20.05" customHeight="1">
      <c r="A73" s="32"/>
      <c r="B73" s="52">
        <v>875</v>
      </c>
      <c r="C73" s="34"/>
    </row>
    <row r="74" ht="20.05" customHeight="1">
      <c r="A74" s="32"/>
      <c r="B74" s="52">
        <v>845</v>
      </c>
      <c r="C74" s="34"/>
    </row>
    <row r="75" ht="20.05" customHeight="1">
      <c r="A75" s="37">
        <v>2020</v>
      </c>
      <c r="B75" s="52">
        <v>800</v>
      </c>
      <c r="C75" s="34"/>
    </row>
    <row r="76" ht="20.05" customHeight="1">
      <c r="A76" s="32"/>
      <c r="B76" s="52">
        <v>810</v>
      </c>
      <c r="C76" s="34"/>
    </row>
    <row r="77" ht="20.05" customHeight="1">
      <c r="A77" s="32"/>
      <c r="B77" s="52">
        <v>935</v>
      </c>
      <c r="C77" s="34"/>
    </row>
    <row r="78" ht="20.05" customHeight="1">
      <c r="A78" s="32"/>
      <c r="B78" s="52">
        <v>895</v>
      </c>
      <c r="C78" s="34"/>
    </row>
    <row r="79" ht="20.05" customHeight="1">
      <c r="A79" s="32"/>
      <c r="B79" s="52">
        <v>835</v>
      </c>
      <c r="C79" s="34"/>
    </row>
    <row r="80" ht="20.05" customHeight="1">
      <c r="A80" s="32"/>
      <c r="B80" s="52">
        <v>780</v>
      </c>
      <c r="C80" s="34"/>
    </row>
    <row r="81" ht="20.05" customHeight="1">
      <c r="A81" s="32"/>
      <c r="B81" s="52">
        <v>820</v>
      </c>
      <c r="C81" s="34"/>
    </row>
    <row r="82" ht="20.05" customHeight="1">
      <c r="A82" s="32"/>
      <c r="B82" s="52">
        <v>860</v>
      </c>
      <c r="C82" s="36"/>
    </row>
    <row r="83" ht="20.05" customHeight="1">
      <c r="A83" s="32"/>
      <c r="B83" s="52">
        <v>800</v>
      </c>
      <c r="C83" s="36"/>
    </row>
    <row r="84" ht="20.05" customHeight="1">
      <c r="A84" s="32"/>
      <c r="B84" s="33">
        <v>815</v>
      </c>
      <c r="C84" s="36"/>
    </row>
    <row r="85" ht="20.05" customHeight="1">
      <c r="A85" s="32"/>
      <c r="B85" s="33">
        <v>690</v>
      </c>
      <c r="C85" s="36"/>
    </row>
    <row r="86" ht="20.05" customHeight="1">
      <c r="A86" s="32"/>
      <c r="B86" s="33">
        <v>1250</v>
      </c>
      <c r="C86" s="36"/>
    </row>
    <row r="87" ht="20.05" customHeight="1">
      <c r="A87" s="37">
        <v>2021</v>
      </c>
      <c r="B87" s="33">
        <v>940</v>
      </c>
      <c r="C87" s="36"/>
    </row>
    <row r="88" ht="20.05" customHeight="1">
      <c r="A88" s="32"/>
      <c r="B88" s="33">
        <v>1000</v>
      </c>
      <c r="C88" s="36"/>
    </row>
    <row r="89" ht="20.05" customHeight="1">
      <c r="A89" s="32"/>
      <c r="B89" s="33">
        <v>955</v>
      </c>
      <c r="C89" s="36"/>
    </row>
    <row r="90" ht="20.05" customHeight="1">
      <c r="A90" s="32"/>
      <c r="B90" s="33">
        <v>930</v>
      </c>
      <c r="C90" s="36"/>
    </row>
    <row r="91" ht="20.05" customHeight="1">
      <c r="A91" s="32"/>
      <c r="B91" s="33">
        <v>875</v>
      </c>
      <c r="C91" s="36"/>
    </row>
    <row r="92" ht="20.05" customHeight="1">
      <c r="A92" s="32"/>
      <c r="B92" s="33">
        <v>830</v>
      </c>
      <c r="C92" s="36"/>
    </row>
    <row r="93" ht="20.05" customHeight="1">
      <c r="A93" s="32"/>
      <c r="B93" s="33">
        <v>835</v>
      </c>
      <c r="C93" s="36"/>
    </row>
    <row r="94" ht="20.05" customHeight="1">
      <c r="A94" s="32"/>
      <c r="B94" s="33">
        <v>835</v>
      </c>
      <c r="C94" s="36"/>
    </row>
    <row r="95" ht="20.05" customHeight="1">
      <c r="A95" s="32"/>
      <c r="B95" s="33">
        <v>915</v>
      </c>
      <c r="C95" s="36"/>
    </row>
    <row r="96" ht="20.05" customHeight="1">
      <c r="A96" s="32"/>
      <c r="B96" s="33">
        <v>1140</v>
      </c>
      <c r="C96" s="36"/>
    </row>
    <row r="97" ht="20.05" customHeight="1">
      <c r="A97" s="32"/>
      <c r="B97" s="33">
        <v>1180</v>
      </c>
      <c r="C97" s="34">
        <f>B97</f>
        <v>1180</v>
      </c>
    </row>
    <row r="98" ht="20.05" customHeight="1">
      <c r="A98" s="32"/>
      <c r="B98" s="33"/>
      <c r="C98" s="34">
        <f>'Model'!F42</f>
        <v>1394.263364245550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