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<sst xmlns="http://schemas.openxmlformats.org/spreadsheetml/2006/main" uniqueCount="53">
  <si>
    <t>Financial model</t>
  </si>
  <si>
    <t>Rpbn</t>
  </si>
  <si>
    <t>4Q 2021</t>
  </si>
  <si>
    <t xml:space="preserve">Cashflow </t>
  </si>
  <si>
    <t xml:space="preserve">Growth </t>
  </si>
  <si>
    <t>Sales</t>
  </si>
  <si>
    <t xml:space="preserve">Cost ratio </t>
  </si>
  <si>
    <t>Cash costs</t>
  </si>
  <si>
    <t xml:space="preserve">Operating </t>
  </si>
  <si>
    <t>Investment</t>
  </si>
  <si>
    <t>Leases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</si>
  <si>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</si>
  <si>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</si>
  <si>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</si>
  <si>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</si>
  <si>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</si>
  <si>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</si>
  <si>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</si>
  <si>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>End</t>
  </si>
  <si>
    <t xml:space="preserve">Profit </t>
  </si>
  <si>
    <t>Non cash costs</t>
  </si>
  <si>
    <t>Balance sheet</t>
  </si>
  <si>
    <t>Other assets</t>
  </si>
  <si>
    <t xml:space="preserve">Depreciation </t>
  </si>
  <si>
    <t>Net other assets</t>
  </si>
  <si>
    <t xml:space="preserve">Check </t>
  </si>
  <si>
    <t>Net cash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</si>
  <si>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</si>
  <si>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</si>
  <si>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</si>
  <si>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</si>
  <si>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</si>
  <si>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</si>
  <si>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</si>
  <si>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</si>
  <si>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</si>
  <si>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</si>
  <si>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</si>
  <si>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</si>
  <si>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 xml:space="preserve">V target </t>
  </si>
  <si>
    <t xml:space="preserve">12 month growth </t>
  </si>
  <si>
    <t xml:space="preserve">Sales v forecast </t>
  </si>
  <si>
    <t>Profit</t>
  </si>
  <si>
    <t xml:space="preserve">Sales growth </t>
  </si>
  <si>
    <t>Cashflow costs</t>
  </si>
  <si>
    <t>Receipts</t>
  </si>
  <si>
    <t xml:space="preserve">Free cashflow </t>
  </si>
  <si>
    <t>Cash</t>
  </si>
  <si>
    <t>Assets</t>
  </si>
  <si>
    <t>Check</t>
  </si>
  <si>
    <t xml:space="preserve">Net cash </t>
  </si>
  <si>
    <t>Share price</t>
  </si>
  <si>
    <t>SPTO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</si>
</sst>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0.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49" fontId="0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0" fontId="3" borderId="4" applyNumberFormat="0" applyFont="1" applyFill="0" applyBorder="1" applyAlignment="1" applyProtection="0">
      <alignment horizontal="right" vertical="top" wrapText="1"/>
    </xf>
    <xf numFmtId="0" fontId="0" borderId="6" applyNumberFormat="0" applyFont="1" applyFill="0" applyBorder="1" applyAlignment="1" applyProtection="0">
      <alignment vertical="top" wrapText="1"/>
    </xf>
    <xf numFmtId="0" fontId="3" borderId="7" applyNumberFormat="0" applyFont="1" applyFill="0" applyBorder="1" applyAlignment="1" applyProtection="0">
      <alignment horizontal="right" vertical="top" wrapText="1"/>
    </xf>
    <xf numFmtId="0" fontId="3" borderId="7" applyNumberFormat="1" applyFont="1" applyFill="0" applyBorder="1" applyAlignment="1" applyProtection="0">
      <alignment horizontal="right" vertical="top" wrapText="1"/>
    </xf>
    <xf numFmtId="0" fontId="0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631438</xdr:colOff>
      <xdr:row>1</xdr:row>
      <xdr:rowOff>313210</xdr:rowOff>
    </xdr:from>
    <xdr:to>
      <xdr:col>13</xdr:col>
      <xdr:colOff>398298</xdr:colOff>
      <xdr:row>47</xdr:row>
      <xdr:rowOff>194119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82738" y="465610"/>
          <a:ext cx="8479061" cy="1169572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71094" style="1" customWidth="1"/>
    <col min="2" max="2" width="16.1797" style="1" customWidth="1"/>
    <col min="3" max="6" width="8.85156" style="1" customWidth="1"/>
    <col min="7" max="16384" width="16.3516" style="1" customWidth="1"/>
  </cols>
  <sheetData>
    <row r="1" ht="12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5"/>
    </row>
    <row r="4" ht="20.25" customHeight="1">
      <c r="B4" t="s" s="6">
        <v>3</v>
      </c>
      <c r="C4" s="7">
        <f>AVERAGE('Sales'!G18:G21)</f>
        <v>0.0371323343750543</v>
      </c>
      <c r="D4" s="8"/>
      <c r="E4" s="8"/>
      <c r="F4" s="9">
        <f>AVERAGE(C5:F5)</f>
        <v>0.0525</v>
      </c>
    </row>
    <row r="5" ht="20.05" customHeight="1">
      <c r="B5" t="s" s="10">
        <v>4</v>
      </c>
      <c r="C5" s="11">
        <v>0.15</v>
      </c>
      <c r="D5" s="12">
        <v>-0.02</v>
      </c>
      <c r="E5" s="12">
        <v>-0.07000000000000001</v>
      </c>
      <c r="F5" s="12">
        <v>0.15</v>
      </c>
    </row>
    <row r="6" ht="20.05" customHeight="1">
      <c r="B6" t="s" s="10">
        <v>5</v>
      </c>
      <c r="C6" s="13">
        <f>'Sales'!C21*(1+C5)</f>
        <v>634.225</v>
      </c>
      <c r="D6" s="14">
        <f>C6*(1+D5)</f>
        <v>621.5405</v>
      </c>
      <c r="E6" s="14">
        <f>D6*(1+E5)</f>
        <v>578.032665</v>
      </c>
      <c r="F6" s="14">
        <f>E6*(1+F5)</f>
        <v>664.73756475</v>
      </c>
    </row>
    <row r="7" ht="20.05" customHeight="1">
      <c r="B7" t="s" s="10">
        <v>6</v>
      </c>
      <c r="C7" s="11">
        <f>AVERAGE('Sales'!H21)</f>
        <v>-0.862556663644606</v>
      </c>
      <c r="D7" s="12">
        <f>C7</f>
        <v>-0.862556663644606</v>
      </c>
      <c r="E7" s="12">
        <f>D7</f>
        <v>-0.862556663644606</v>
      </c>
      <c r="F7" s="12">
        <f>E7</f>
        <v>-0.862556663644606</v>
      </c>
    </row>
    <row r="8" ht="20.05" customHeight="1">
      <c r="B8" t="s" s="10">
        <v>7</v>
      </c>
      <c r="C8" s="15">
        <f>C6*C7</f>
        <v>-547.0549999999999</v>
      </c>
      <c r="D8" s="16">
        <f>D6*D7</f>
        <v>-536.1138999999999</v>
      </c>
      <c r="E8" s="16">
        <f>E6*E7</f>
        <v>-498.585927</v>
      </c>
      <c r="F8" s="16">
        <f>F6*F7</f>
        <v>-573.37381605</v>
      </c>
    </row>
    <row r="9" ht="20.05" customHeight="1">
      <c r="B9" t="s" s="10">
        <v>8</v>
      </c>
      <c r="C9" s="15">
        <f>C6+C8</f>
        <v>87.17</v>
      </c>
      <c r="D9" s="16">
        <f>D6+D8</f>
        <v>85.42659999999999</v>
      </c>
      <c r="E9" s="16">
        <f>E6+E8</f>
        <v>79.446738</v>
      </c>
      <c r="F9" s="16">
        <f>F6+F8</f>
        <v>91.3637487</v>
      </c>
    </row>
    <row r="10" ht="20.05" customHeight="1">
      <c r="B10" t="s" s="10">
        <v>9</v>
      </c>
      <c r="C10" s="15">
        <f>AVERAGE('Cashflow '!E21:E22)</f>
        <v>-1.75</v>
      </c>
      <c r="D10" s="16">
        <f>C10</f>
        <v>-1.75</v>
      </c>
      <c r="E10" s="16">
        <f>D10</f>
        <v>-1.75</v>
      </c>
      <c r="F10" s="16">
        <f>E10</f>
        <v>-1.75</v>
      </c>
    </row>
    <row r="11" ht="20.05" customHeight="1">
      <c r="B11" t="s" s="10">
        <v>10</v>
      </c>
      <c r="C11" s="15">
        <f>AVERAGE('Cashflow '!F22)</f>
        <v>-0.45</v>
      </c>
      <c r="D11" s="16">
        <f>C11</f>
        <v>-0.45</v>
      </c>
      <c r="E11" s="16">
        <f>D11</f>
        <v>-0.45</v>
      </c>
      <c r="F11" s="16">
        <f>E11</f>
        <v>-0.45</v>
      </c>
    </row>
    <row r="12" ht="20.05" customHeight="1">
      <c r="B12" t="s" s="10">
        <v>11</v>
      </c>
      <c r="C12" s="15">
        <f>C13+C14+C16</f>
        <v>-71.771</v>
      </c>
      <c r="D12" s="16">
        <f>D13+D14+D16</f>
        <v>-68.48548</v>
      </c>
      <c r="E12" s="16">
        <f>E13+E14+E16</f>
        <v>-64.0671464</v>
      </c>
      <c r="F12" s="16">
        <f>F13+F14+F16</f>
        <v>-65.14909335999999</v>
      </c>
    </row>
    <row r="13" ht="20.05" customHeight="1">
      <c r="B13" t="s" s="10">
        <v>12</v>
      </c>
      <c r="C13" s="15">
        <f>-'Balance sheet'!G18/20</f>
        <v>-54.8</v>
      </c>
      <c r="D13" s="16">
        <f>-C27/20</f>
        <v>-52.0375</v>
      </c>
      <c r="E13" s="16">
        <f>-D27/20</f>
        <v>-49.413125</v>
      </c>
      <c r="F13" s="16">
        <f>-E27/20</f>
        <v>-46.91996875</v>
      </c>
    </row>
    <row r="14" ht="20.05" customHeight="1">
      <c r="B14" t="s" s="10">
        <v>13</v>
      </c>
      <c r="C14" s="15">
        <f>IF(C22&gt;0,-C22*0.3,0)</f>
        <v>-16.971</v>
      </c>
      <c r="D14" s="16">
        <f>IF(D22&gt;0,-D22*0.3,0)</f>
        <v>-16.44798</v>
      </c>
      <c r="E14" s="16">
        <f>IF(E22&gt;0,-E22*0.3,0)</f>
        <v>-14.6540214</v>
      </c>
      <c r="F14" s="16">
        <f>IF(F22&gt;0,-F22*0.3,0)</f>
        <v>-18.22912461</v>
      </c>
    </row>
    <row r="15" ht="20.05" customHeight="1">
      <c r="B15" t="s" s="10">
        <v>14</v>
      </c>
      <c r="C15" s="15">
        <f>C9+C10+C13+C14+C11</f>
        <v>13.199</v>
      </c>
      <c r="D15" s="16">
        <f>D9+D10+D13+D14+D11</f>
        <v>14.74112</v>
      </c>
      <c r="E15" s="16">
        <f>E9+E10+E13+E14+E11</f>
        <v>13.1795916</v>
      </c>
      <c r="F15" s="16">
        <f>F9+F10+F13+F14+F11</f>
        <v>24.01465534</v>
      </c>
    </row>
    <row r="16" ht="20.05" customHeight="1">
      <c r="B16" t="s" s="10">
        <v>15</v>
      </c>
      <c r="C16" s="15">
        <f>-MIN(0,C15)</f>
        <v>0</v>
      </c>
      <c r="D16" s="16">
        <f>-MIN(C28,D15)</f>
        <v>0</v>
      </c>
      <c r="E16" s="16">
        <f>-MIN(D28,E15)</f>
        <v>0</v>
      </c>
      <c r="F16" s="16">
        <f>-MIN(E28,F15)</f>
        <v>0</v>
      </c>
    </row>
    <row r="17" ht="20.05" customHeight="1">
      <c r="B17" t="s" s="10">
        <v>16</v>
      </c>
      <c r="C17" s="15">
        <f>'Balance sheet'!C18</f>
        <v>331</v>
      </c>
      <c r="D17" s="16">
        <f>C19</f>
        <v>344.199</v>
      </c>
      <c r="E17" s="16">
        <f>D19</f>
        <v>358.94012</v>
      </c>
      <c r="F17" s="16">
        <f>E19</f>
        <v>372.1197116</v>
      </c>
    </row>
    <row r="18" ht="20.05" customHeight="1">
      <c r="B18" t="s" s="10">
        <v>17</v>
      </c>
      <c r="C18" s="15">
        <f>C9+C10+C12+C11</f>
        <v>13.199</v>
      </c>
      <c r="D18" s="16">
        <f>D9+D10+D12+D11</f>
        <v>14.74112</v>
      </c>
      <c r="E18" s="16">
        <f>E9+E10+E12+E11</f>
        <v>13.1795916</v>
      </c>
      <c r="F18" s="16">
        <f>F9+F10+F12+F11</f>
        <v>24.01465534</v>
      </c>
    </row>
    <row r="19" ht="20.05" customHeight="1">
      <c r="B19" t="s" s="10">
        <v>18</v>
      </c>
      <c r="C19" s="15">
        <f>C17+C18</f>
        <v>344.199</v>
      </c>
      <c r="D19" s="16">
        <f>D17+D18</f>
        <v>358.94012</v>
      </c>
      <c r="E19" s="16">
        <f>E17+E18</f>
        <v>372.1197116</v>
      </c>
      <c r="F19" s="16">
        <f>F17+F18</f>
        <v>396.13436694</v>
      </c>
    </row>
    <row r="20" ht="20.05" customHeight="1">
      <c r="B20" t="s" s="17">
        <v>19</v>
      </c>
      <c r="C20" s="15"/>
      <c r="D20" s="16"/>
      <c r="E20" s="16"/>
      <c r="F20" s="18"/>
    </row>
    <row r="21" ht="20.05" customHeight="1">
      <c r="B21" t="s" s="10">
        <v>20</v>
      </c>
      <c r="C21" s="15">
        <f>-AVERAGE('Sales'!E21)</f>
        <v>-30.6</v>
      </c>
      <c r="D21" s="16">
        <f>C21</f>
        <v>-30.6</v>
      </c>
      <c r="E21" s="16">
        <f>D21</f>
        <v>-30.6</v>
      </c>
      <c r="F21" s="16">
        <f>E21</f>
        <v>-30.6</v>
      </c>
    </row>
    <row r="22" ht="20.05" customHeight="1">
      <c r="B22" t="s" s="10">
        <v>19</v>
      </c>
      <c r="C22" s="15">
        <f>C6+C8+C21</f>
        <v>56.57</v>
      </c>
      <c r="D22" s="16">
        <f>D6+D8+D21</f>
        <v>54.8266</v>
      </c>
      <c r="E22" s="16">
        <f>E6+E8+E21</f>
        <v>48.846738</v>
      </c>
      <c r="F22" s="16">
        <f>F6+F8+F21</f>
        <v>60.7637487</v>
      </c>
    </row>
    <row r="23" ht="20.05" customHeight="1">
      <c r="B23" t="s" s="17">
        <v>21</v>
      </c>
      <c r="C23" s="15"/>
      <c r="D23" s="16"/>
      <c r="E23" s="16"/>
      <c r="F23" s="16"/>
    </row>
    <row r="24" ht="20.05" customHeight="1">
      <c r="B24" t="s" s="10">
        <v>22</v>
      </c>
      <c r="C24" s="15">
        <f>'Balance sheet'!E18+'Balance sheet'!F18-C10</f>
        <v>3051.75</v>
      </c>
      <c r="D24" s="16">
        <f>C24-D10</f>
        <v>3053.5</v>
      </c>
      <c r="E24" s="16">
        <f>D24-E10</f>
        <v>3055.25</v>
      </c>
      <c r="F24" s="16">
        <f>E24-F10</f>
        <v>3057</v>
      </c>
    </row>
    <row r="25" ht="20.05" customHeight="1">
      <c r="B25" t="s" s="10">
        <v>23</v>
      </c>
      <c r="C25" s="15">
        <f>'Balance sheet'!F18-C21</f>
        <v>278.6</v>
      </c>
      <c r="D25" s="16">
        <f>C25-D21</f>
        <v>309.2</v>
      </c>
      <c r="E25" s="16">
        <f>D25-E21</f>
        <v>339.8</v>
      </c>
      <c r="F25" s="16">
        <f>E25-F21</f>
        <v>370.4</v>
      </c>
    </row>
    <row r="26" ht="20.05" customHeight="1">
      <c r="B26" t="s" s="10">
        <v>24</v>
      </c>
      <c r="C26" s="15">
        <f>C24-C25</f>
        <v>2773.15</v>
      </c>
      <c r="D26" s="16">
        <f>D24-D25</f>
        <v>2744.3</v>
      </c>
      <c r="E26" s="16">
        <f>E24-E25</f>
        <v>2715.45</v>
      </c>
      <c r="F26" s="16">
        <f>F24-F25</f>
        <v>2686.6</v>
      </c>
    </row>
    <row r="27" ht="20.05" customHeight="1">
      <c r="B27" t="s" s="10">
        <v>12</v>
      </c>
      <c r="C27" s="15">
        <f>'Balance sheet'!G18+C13+C11</f>
        <v>1040.75</v>
      </c>
      <c r="D27" s="16">
        <f>C27+D13+D11</f>
        <v>988.2625</v>
      </c>
      <c r="E27" s="16">
        <f>D27+E13+E11</f>
        <v>938.399375</v>
      </c>
      <c r="F27" s="16">
        <f>E27+F13+F11</f>
        <v>891.02940625</v>
      </c>
    </row>
    <row r="28" ht="20.05" customHeight="1">
      <c r="B28" t="s" s="10">
        <v>15</v>
      </c>
      <c r="C28" s="15">
        <f>C16</f>
        <v>0</v>
      </c>
      <c r="D28" s="16">
        <f>C28+D16</f>
        <v>0</v>
      </c>
      <c r="E28" s="16">
        <f>D28+E16</f>
        <v>0</v>
      </c>
      <c r="F28" s="16">
        <f>E28+F16</f>
        <v>0</v>
      </c>
    </row>
    <row r="29" ht="20.05" customHeight="1">
      <c r="B29" t="s" s="10">
        <v>13</v>
      </c>
      <c r="C29" s="15">
        <f>'Balance sheet'!H18+C22+C14</f>
        <v>2076.599</v>
      </c>
      <c r="D29" s="16">
        <f>C29+D22+D14</f>
        <v>2114.97762</v>
      </c>
      <c r="E29" s="16">
        <f>D29+E22+E14</f>
        <v>2149.1703366</v>
      </c>
      <c r="F29" s="16">
        <f>E29+F22+F14</f>
        <v>2191.70496069</v>
      </c>
    </row>
    <row r="30" ht="20.05" customHeight="1">
      <c r="B30" t="s" s="10">
        <v>25</v>
      </c>
      <c r="C30" s="15">
        <f>C27+C28+C29-C19-C26</f>
        <v>0</v>
      </c>
      <c r="D30" s="16">
        <f>D27+D28+D29-D19-D26</f>
        <v>0</v>
      </c>
      <c r="E30" s="16">
        <f>E27+E28+E29-E19-E26</f>
        <v>0</v>
      </c>
      <c r="F30" s="16">
        <f>F27+F28+F29-F19-F26</f>
        <v>0</v>
      </c>
    </row>
    <row r="31" ht="20.05" customHeight="1">
      <c r="B31" t="s" s="10">
        <v>26</v>
      </c>
      <c r="C31" s="15">
        <f>C19-C27-C28</f>
        <v>-696.551</v>
      </c>
      <c r="D31" s="16">
        <f>D19-D27-D28</f>
        <v>-629.32238</v>
      </c>
      <c r="E31" s="16">
        <f>E19-E27-E28</f>
        <v>-566.2796634</v>
      </c>
      <c r="F31" s="16">
        <f>F19-F27-F28</f>
        <v>-494.89503931</v>
      </c>
    </row>
    <row r="32" ht="20.05" customHeight="1">
      <c r="B32" t="s" s="17">
        <v>27</v>
      </c>
      <c r="C32" s="15"/>
      <c r="D32" s="16"/>
      <c r="E32" s="16"/>
      <c r="F32" s="16"/>
    </row>
    <row r="33" ht="20.05" customHeight="1">
      <c r="B33" t="s" s="10">
        <v>28</v>
      </c>
      <c r="C33" s="15">
        <f>'Cashflow '!L20-(C12-C11)</f>
        <v>-686.179</v>
      </c>
      <c r="D33" s="16">
        <f>C33-(D12-D11)</f>
        <v>-618.14352</v>
      </c>
      <c r="E33" s="16">
        <f>D33-(E12-E11)</f>
        <v>-554.5263736000001</v>
      </c>
      <c r="F33" s="16">
        <f>E33-(F12-F11)</f>
        <v>-489.82728024</v>
      </c>
    </row>
    <row r="34" ht="20.05" customHeight="1">
      <c r="B34" t="s" s="10">
        <v>29</v>
      </c>
      <c r="C34" s="15"/>
      <c r="D34" s="16"/>
      <c r="E34" s="16"/>
      <c r="F34" s="16">
        <v>1823</v>
      </c>
    </row>
    <row r="35" ht="20.05" customHeight="1">
      <c r="B35" t="s" s="10">
        <v>30</v>
      </c>
      <c r="C35" s="15"/>
      <c r="D35" s="16"/>
      <c r="E35" s="16"/>
      <c r="F35" s="19">
        <f>F34/(F19+F26)</f>
        <v>0.591358120099578</v>
      </c>
    </row>
    <row r="36" ht="20.05" customHeight="1">
      <c r="B36" t="s" s="10">
        <v>31</v>
      </c>
      <c r="C36" s="15"/>
      <c r="D36" s="16"/>
      <c r="E36" s="16"/>
      <c r="F36" s="20">
        <f>-(C14+D14+E14+F14)/(F34)</f>
        <v>0.0363697893636862</v>
      </c>
    </row>
    <row r="37" ht="20.05" customHeight="1">
      <c r="B37" t="s" s="10">
        <v>32</v>
      </c>
      <c r="C37" s="15"/>
      <c r="D37" s="16"/>
      <c r="E37" s="16"/>
      <c r="F37" s="16">
        <f>SUM(C9:F11)</f>
        <v>334.6070867</v>
      </c>
    </row>
    <row r="38" ht="20.05" customHeight="1">
      <c r="B38" t="s" s="10">
        <v>33</v>
      </c>
      <c r="C38" s="15"/>
      <c r="D38" s="16"/>
      <c r="E38" s="16"/>
      <c r="F38" s="16">
        <f>'Balance sheet'!E18/F37</f>
        <v>8.374000764999341</v>
      </c>
    </row>
    <row r="39" ht="20.05" customHeight="1">
      <c r="B39" t="s" s="10">
        <v>27</v>
      </c>
      <c r="C39" s="15"/>
      <c r="D39" s="16"/>
      <c r="E39" s="16"/>
      <c r="F39" s="16">
        <f>F34/F37</f>
        <v>5.44818108300992</v>
      </c>
    </row>
    <row r="40" ht="20.05" customHeight="1">
      <c r="B40" t="s" s="21">
        <v>34</v>
      </c>
      <c r="C40" s="15"/>
      <c r="D40" s="16"/>
      <c r="E40" s="16"/>
      <c r="F40" s="16">
        <v>8</v>
      </c>
    </row>
    <row r="41" ht="20.05" customHeight="1">
      <c r="B41" t="s" s="10">
        <v>35</v>
      </c>
      <c r="C41" s="15"/>
      <c r="D41" s="16"/>
      <c r="E41" s="16"/>
      <c r="F41" s="16">
        <f>F37*F40</f>
        <v>2676.8566936</v>
      </c>
    </row>
    <row r="42" ht="20.05" customHeight="1">
      <c r="B42" t="s" s="10">
        <v>36</v>
      </c>
      <c r="C42" s="15"/>
      <c r="D42" s="16"/>
      <c r="E42" s="16"/>
      <c r="F42" s="16">
        <f>F34/F44</f>
        <v>2.70074074074074</v>
      </c>
    </row>
    <row r="43" ht="20.05" customHeight="1">
      <c r="B43" t="s" s="10">
        <v>37</v>
      </c>
      <c r="C43" s="15"/>
      <c r="D43" s="16"/>
      <c r="E43" s="16"/>
      <c r="F43" s="16">
        <f>F41/F42</f>
        <v>991.1564828195289</v>
      </c>
    </row>
    <row r="44" ht="20.05" customHeight="1">
      <c r="B44" t="s" s="10">
        <v>38</v>
      </c>
      <c r="C44" s="15"/>
      <c r="D44" s="16"/>
      <c r="E44" s="16"/>
      <c r="F44" s="16">
        <f>'Share price '!C50</f>
        <v>675</v>
      </c>
    </row>
    <row r="45" ht="20.05" customHeight="1">
      <c r="B45" t="s" s="10">
        <v>39</v>
      </c>
      <c r="C45" s="15"/>
      <c r="D45" s="16"/>
      <c r="E45" s="16"/>
      <c r="F45" s="20">
        <f>F43/F44-1</f>
        <v>0.46837997454745</v>
      </c>
    </row>
    <row r="46" ht="20.05" customHeight="1">
      <c r="B46" t="s" s="10">
        <v>40</v>
      </c>
      <c r="C46" s="15"/>
      <c r="D46" s="16"/>
      <c r="E46" s="16"/>
      <c r="F46" s="20">
        <f>'Sales'!C21/'Sales'!C17-1</f>
        <v>0.121847030105777</v>
      </c>
    </row>
    <row r="47" ht="20.05" customHeight="1">
      <c r="B47" t="s" s="10">
        <v>41</v>
      </c>
      <c r="C47" s="15"/>
      <c r="D47" s="16"/>
      <c r="E47" s="16"/>
      <c r="F47" s="20">
        <f>('Sales'!D20+'Sales'!D21)/('Sales'!C20+'Sales'!C21)-1</f>
        <v>0.132976422447389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J25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72656" style="22" customWidth="1"/>
    <col min="2" max="10" width="10.9688" style="22" customWidth="1"/>
    <col min="11" max="16384" width="16.3516" style="22" customWidth="1"/>
  </cols>
  <sheetData>
    <row r="1" ht="27.65" customHeight="1">
      <c r="B1" t="s" s="2">
        <v>42</v>
      </c>
      <c r="C1" s="2"/>
      <c r="D1" s="2"/>
      <c r="E1" s="2"/>
      <c r="F1" s="2"/>
      <c r="G1" s="2"/>
      <c r="H1" s="2"/>
      <c r="I1" s="2"/>
      <c r="J1" s="2"/>
    </row>
    <row r="2" ht="32.25" customHeight="1">
      <c r="B2" t="s" s="4">
        <v>1</v>
      </c>
      <c r="C2" t="s" s="4">
        <v>5</v>
      </c>
      <c r="D2" t="s" s="4">
        <v>34</v>
      </c>
      <c r="E2" t="s" s="4">
        <v>20</v>
      </c>
      <c r="F2" t="s" s="4">
        <v>42</v>
      </c>
      <c r="G2" t="s" s="4">
        <v>43</v>
      </c>
      <c r="H2" t="s" s="4">
        <v>6</v>
      </c>
      <c r="I2" t="s" s="4">
        <v>44</v>
      </c>
      <c r="J2" t="s" s="4">
        <v>44</v>
      </c>
    </row>
    <row r="3" ht="20.25" customHeight="1">
      <c r="B3" s="23">
        <v>2017</v>
      </c>
      <c r="C3" s="24"/>
      <c r="D3" s="25"/>
      <c r="E3" s="26"/>
      <c r="F3" s="26"/>
      <c r="G3" s="9"/>
      <c r="H3" s="9"/>
      <c r="I3" s="8"/>
      <c r="J3" s="27"/>
    </row>
    <row r="4" ht="20.05" customHeight="1">
      <c r="B4" s="28"/>
      <c r="C4" s="13"/>
      <c r="D4" s="14"/>
      <c r="E4" s="16"/>
      <c r="F4" s="16"/>
      <c r="G4" s="12"/>
      <c r="H4" s="12"/>
      <c r="I4" s="18"/>
      <c r="J4" s="20">
        <f>('Cashflow '!D5-'Cashflow '!C5)/'Cashflow '!C5</f>
        <v>-0.972566203086302</v>
      </c>
    </row>
    <row r="5" ht="20.05" customHeight="1">
      <c r="B5" s="28"/>
      <c r="C5" s="13">
        <v>509.2</v>
      </c>
      <c r="D5" s="14"/>
      <c r="E5" s="16">
        <v>3.1</v>
      </c>
      <c r="F5" s="16">
        <v>48.6</v>
      </c>
      <c r="G5" s="12"/>
      <c r="H5" s="12"/>
      <c r="I5" s="18"/>
      <c r="J5" s="20">
        <f>('Cashflow '!D6-'Cashflow '!C6)/'Cashflow '!C6</f>
        <v>-0.890934283452098</v>
      </c>
    </row>
    <row r="6" ht="20.05" customHeight="1">
      <c r="B6" s="28"/>
      <c r="C6" s="13">
        <v>589.5</v>
      </c>
      <c r="D6" s="14"/>
      <c r="E6" s="16">
        <v>-3.5</v>
      </c>
      <c r="F6" s="16">
        <v>83.2</v>
      </c>
      <c r="G6" s="12">
        <f>C6/C5-1</f>
        <v>0.157698350353496</v>
      </c>
      <c r="H6" s="12"/>
      <c r="I6" s="18"/>
      <c r="J6" s="20">
        <f>('Cashflow '!D7-'Cashflow '!C7)/'Cashflow '!C7</f>
        <v>-0.956364947710061</v>
      </c>
    </row>
    <row r="7" ht="20.05" customHeight="1">
      <c r="B7" s="29">
        <v>2018</v>
      </c>
      <c r="C7" s="13">
        <v>616.3</v>
      </c>
      <c r="D7" s="14"/>
      <c r="E7" s="16">
        <v>1.5</v>
      </c>
      <c r="F7" s="16">
        <v>52.5</v>
      </c>
      <c r="G7" s="12">
        <f>C7/C6-1</f>
        <v>0.0454622561492791</v>
      </c>
      <c r="H7" s="12">
        <f>(E7+F7-C7)/C7</f>
        <v>-0.912380334252799</v>
      </c>
      <c r="I7" s="20">
        <f>AVERAGE(J4:J7)</f>
        <v>-0.962799135721923</v>
      </c>
      <c r="J7" s="20">
        <f>('Cashflow '!D8-'Cashflow '!C8)/'Cashflow '!C8</f>
        <v>-1.03133110863923</v>
      </c>
    </row>
    <row r="8" ht="20.05" customHeight="1">
      <c r="B8" s="28"/>
      <c r="C8" s="13">
        <v>467.8</v>
      </c>
      <c r="D8" s="14"/>
      <c r="E8" s="16">
        <v>1.6</v>
      </c>
      <c r="F8" s="16">
        <v>30.3</v>
      </c>
      <c r="G8" s="12">
        <f>C8/C7-1</f>
        <v>-0.240954080804803</v>
      </c>
      <c r="H8" s="12">
        <f>(E8+F8-C8)/C8</f>
        <v>-0.93180846515605</v>
      </c>
      <c r="I8" s="20">
        <f>AVERAGE(J5:J8)</f>
        <v>-1.00135827796402</v>
      </c>
      <c r="J8" s="20">
        <f>('Cashflow '!D9-'Cashflow '!C9)/'Cashflow '!C9</f>
        <v>-1.12680277205469</v>
      </c>
    </row>
    <row r="9" ht="20.05" customHeight="1">
      <c r="B9" s="28"/>
      <c r="C9" s="13">
        <v>556.7</v>
      </c>
      <c r="D9" s="14"/>
      <c r="E9" s="16">
        <v>1.8</v>
      </c>
      <c r="F9" s="16">
        <v>42.9</v>
      </c>
      <c r="G9" s="12">
        <f>C9/C8-1</f>
        <v>0.190038477982044</v>
      </c>
      <c r="H9" s="12">
        <f>(E9+F9-C9)/C9</f>
        <v>-0.919705406861865</v>
      </c>
      <c r="I9" s="20">
        <f>AVERAGE(J6:J9)</f>
        <v>-1.04676367000323</v>
      </c>
      <c r="J9" s="20">
        <f>('Cashflow '!D10-'Cashflow '!C10)/'Cashflow '!C10</f>
        <v>-1.07255585160894</v>
      </c>
    </row>
    <row r="10" ht="20.05" customHeight="1">
      <c r="B10" s="28"/>
      <c r="C10" s="13">
        <v>627.3</v>
      </c>
      <c r="D10" s="14"/>
      <c r="E10" s="16">
        <v>25.9</v>
      </c>
      <c r="F10" s="16">
        <v>78.3</v>
      </c>
      <c r="G10" s="12">
        <f>C10/C9-1</f>
        <v>0.126818753368062</v>
      </c>
      <c r="H10" s="12">
        <f>(E10+F10-C10)/C10</f>
        <v>-0.833891280089271</v>
      </c>
      <c r="I10" s="20">
        <f>AVERAGE(J7:J10)</f>
        <v>-1.01457936581268</v>
      </c>
      <c r="J10" s="20">
        <f>('Cashflow '!D11-'Cashflow '!C11)/'Cashflow '!C11</f>
        <v>-0.827627730947875</v>
      </c>
    </row>
    <row r="11" ht="20.05" customHeight="1">
      <c r="B11" s="29">
        <v>2019</v>
      </c>
      <c r="C11" s="13">
        <v>578.9</v>
      </c>
      <c r="D11" s="14"/>
      <c r="E11" s="16">
        <v>13.1</v>
      </c>
      <c r="F11" s="16">
        <v>65.90000000000001</v>
      </c>
      <c r="G11" s="12">
        <f>C11/C10-1</f>
        <v>-0.0771560656783038</v>
      </c>
      <c r="H11" s="12">
        <f>(E11+F11-C11)/C11</f>
        <v>-0.863534289169114</v>
      </c>
      <c r="I11" s="20">
        <f>AVERAGE(J8:J11)</f>
        <v>-0.946096439002062</v>
      </c>
      <c r="J11" s="20">
        <f>('Cashflow '!D12-'Cashflow '!C12)/'Cashflow '!C12</f>
        <v>-0.757399401396741</v>
      </c>
    </row>
    <row r="12" ht="20.05" customHeight="1">
      <c r="B12" s="28"/>
      <c r="C12" s="13">
        <v>460.6</v>
      </c>
      <c r="D12" s="14"/>
      <c r="E12" s="16">
        <v>10.8</v>
      </c>
      <c r="F12" s="16">
        <v>42.7</v>
      </c>
      <c r="G12" s="12">
        <f>C12/C11-1</f>
        <v>-0.204353083434099</v>
      </c>
      <c r="H12" s="12">
        <f>(E12+F12-C12)/C12</f>
        <v>-0.8838471558836301</v>
      </c>
      <c r="I12" s="20">
        <f>AVERAGE(J9:J12)</f>
        <v>-0.921512644837572</v>
      </c>
      <c r="J12" s="20">
        <f>('Cashflow '!D13-'Cashflow '!C13)/'Cashflow '!C13</f>
        <v>-1.02846759539673</v>
      </c>
    </row>
    <row r="13" ht="20.05" customHeight="1">
      <c r="B13" s="28"/>
      <c r="C13" s="13">
        <v>570.4</v>
      </c>
      <c r="D13" s="14"/>
      <c r="E13" s="16">
        <v>13.2</v>
      </c>
      <c r="F13" s="16">
        <v>52.2</v>
      </c>
      <c r="G13" s="12">
        <f>C13/C12-1</f>
        <v>0.238384715588363</v>
      </c>
      <c r="H13" s="12">
        <f>(E13+F13-C13)/C13</f>
        <v>-0.885343618513324</v>
      </c>
      <c r="I13" s="20">
        <f>AVERAGE(J10:J13)</f>
        <v>-0.860502605503345</v>
      </c>
      <c r="J13" s="20">
        <f>('Cashflow '!D14-'Cashflow '!C14)/'Cashflow '!C14</f>
        <v>-0.828515694272034</v>
      </c>
    </row>
    <row r="14" ht="20.05" customHeight="1">
      <c r="B14" s="28"/>
      <c r="C14" s="13">
        <v>656.3</v>
      </c>
      <c r="D14" s="14"/>
      <c r="E14" s="16">
        <v>15.3</v>
      </c>
      <c r="F14" s="16">
        <v>59.8</v>
      </c>
      <c r="G14" s="12">
        <f>C14/C13-1</f>
        <v>0.150596072931276</v>
      </c>
      <c r="H14" s="12">
        <f>(E14+F14-C14)/C14</f>
        <v>-0.885570623190614</v>
      </c>
      <c r="I14" s="20">
        <f>AVERAGE(J11:J14)</f>
        <v>-0.848718651203034</v>
      </c>
      <c r="J14" s="20">
        <f>('Cashflow '!D15-'Cashflow '!C15)/'Cashflow '!C15</f>
        <v>-0.780491913746631</v>
      </c>
    </row>
    <row r="15" ht="20.05" customHeight="1">
      <c r="B15" s="29">
        <v>2020</v>
      </c>
      <c r="C15" s="13">
        <v>542</v>
      </c>
      <c r="D15" s="14"/>
      <c r="E15" s="16">
        <v>13.6</v>
      </c>
      <c r="F15" s="16">
        <v>44.3</v>
      </c>
      <c r="G15" s="12">
        <f>C15/C14-1</f>
        <v>-0.174158159378333</v>
      </c>
      <c r="H15" s="12">
        <f>(E15+F15-C15)/C15</f>
        <v>-0.893173431734317</v>
      </c>
      <c r="I15" s="20">
        <f>AVERAGE(J12:J15)</f>
        <v>-0.877562633452968</v>
      </c>
      <c r="J15" s="20">
        <f>('Cashflow '!D16-'Cashflow '!C16)/'Cashflow '!C16</f>
        <v>-0.872775330396476</v>
      </c>
    </row>
    <row r="16" ht="20.05" customHeight="1">
      <c r="B16" s="28"/>
      <c r="C16" s="13">
        <v>313.8</v>
      </c>
      <c r="D16" s="14"/>
      <c r="E16" s="16">
        <v>20.9</v>
      </c>
      <c r="F16" s="16">
        <v>-8</v>
      </c>
      <c r="G16" s="12">
        <f>C16/C15-1</f>
        <v>-0.421033210332103</v>
      </c>
      <c r="H16" s="12">
        <f>(E16+F16-C16)/C16</f>
        <v>-0.958891013384321</v>
      </c>
      <c r="I16" s="20">
        <f>AVERAGE(J13:J16)</f>
        <v>-0.917545603770815</v>
      </c>
      <c r="J16" s="20">
        <f>('Cashflow '!D17-'Cashflow '!C17)/'Cashflow '!C17</f>
        <v>-1.18839947666812</v>
      </c>
    </row>
    <row r="17" ht="20.05" customHeight="1">
      <c r="B17" s="28"/>
      <c r="C17" s="13">
        <v>491.6</v>
      </c>
      <c r="D17" s="14"/>
      <c r="E17" s="16">
        <v>11.4</v>
      </c>
      <c r="F17" s="16">
        <v>34.1</v>
      </c>
      <c r="G17" s="12">
        <f>C17/C16-1</f>
        <v>0.566602931803697</v>
      </c>
      <c r="H17" s="12">
        <f>(E17+F17-C17)/C17</f>
        <v>-0.907445077298617</v>
      </c>
      <c r="I17" s="20">
        <f>AVERAGE(J14:J17)</f>
        <v>-0.894653853920179</v>
      </c>
      <c r="J17" s="20">
        <f>('Cashflow '!D18-'Cashflow '!C18)/'Cashflow '!C18</f>
        <v>-0.736948694869487</v>
      </c>
    </row>
    <row r="18" ht="20.05" customHeight="1">
      <c r="B18" s="28"/>
      <c r="C18" s="13">
        <v>563.6</v>
      </c>
      <c r="D18" s="14"/>
      <c r="E18" s="16">
        <v>33.5</v>
      </c>
      <c r="F18" s="16">
        <v>34.9</v>
      </c>
      <c r="G18" s="12">
        <f>C18/C17-1</f>
        <v>0.146460537021969</v>
      </c>
      <c r="H18" s="12">
        <f>(E18+F18-C18)/C18</f>
        <v>-0.878637331440738</v>
      </c>
      <c r="I18" s="20">
        <f>AVERAGE(J15:J18)</f>
        <v>-0.865801546458621</v>
      </c>
      <c r="J18" s="20">
        <f>('Cashflow '!D19-'Cashflow '!C19)/'Cashflow '!C19</f>
        <v>-0.665082683900399</v>
      </c>
    </row>
    <row r="19" ht="20.05" customHeight="1">
      <c r="B19" s="29">
        <v>2021</v>
      </c>
      <c r="C19" s="13">
        <v>556.5</v>
      </c>
      <c r="D19" s="14"/>
      <c r="E19" s="16">
        <f>11.7+0.8+5.2</f>
        <v>17.7</v>
      </c>
      <c r="F19" s="16">
        <v>53.6</v>
      </c>
      <c r="G19" s="12">
        <f>C19/C18-1</f>
        <v>-0.012597586941093</v>
      </c>
      <c r="H19" s="12">
        <f>(E19+F19-C19)/C19</f>
        <v>-0.871877807726864</v>
      </c>
      <c r="I19" s="20">
        <f>AVERAGE(J16:J19)</f>
        <v>-0.823166473772984</v>
      </c>
      <c r="J19" s="20">
        <f>('Cashflow '!D20-'Cashflow '!C20)/'Cashflow '!C20</f>
        <v>-0.702235039653929</v>
      </c>
    </row>
    <row r="20" ht="20.05" customHeight="1">
      <c r="B20" s="28"/>
      <c r="C20" s="13">
        <f>1031.4-C19</f>
        <v>474.9</v>
      </c>
      <c r="D20" s="14">
        <v>578.76</v>
      </c>
      <c r="E20" s="16">
        <f>1.5+28.5+9.6-E19</f>
        <v>21.9</v>
      </c>
      <c r="F20" s="16">
        <f>98.3-F19</f>
        <v>44.7</v>
      </c>
      <c r="G20" s="12">
        <f>C20/C19-1</f>
        <v>-0.146630727762803</v>
      </c>
      <c r="H20" s="12">
        <f>(E20+F20-C20)/C20</f>
        <v>-0.859759949463045</v>
      </c>
      <c r="I20" s="20">
        <f>AVERAGE(J17:J20)</f>
        <v>-0.772024256194019</v>
      </c>
      <c r="J20" s="20">
        <f>('Cashflow '!D21-'Cashflow '!C21)/'Cashflow '!C21</f>
        <v>-0.983830606352262</v>
      </c>
    </row>
    <row r="21" ht="20.05" customHeight="1">
      <c r="B21" s="28"/>
      <c r="C21" s="13">
        <f>1582.9-SUM(C19:C20)</f>
        <v>551.5</v>
      </c>
      <c r="D21" s="14">
        <v>584.127</v>
      </c>
      <c r="E21" s="16">
        <f>53.6+3.1+11.2+2.3-SUM(E19:E20)</f>
        <v>30.6</v>
      </c>
      <c r="F21" s="16">
        <f>143.5-SUM(F19:F20)</f>
        <v>45.2</v>
      </c>
      <c r="G21" s="12">
        <f>C21/C20-1</f>
        <v>0.161297115182144</v>
      </c>
      <c r="H21" s="12">
        <f>(E21+F21-C21)/C21</f>
        <v>-0.862556663644606</v>
      </c>
      <c r="I21" s="20">
        <f>AVERAGE(J18:J21)</f>
        <v>-0.815349798739623</v>
      </c>
      <c r="J21" s="20">
        <f>('Cashflow '!D22-'Cashflow '!C22)/'Cashflow '!C22</f>
        <v>-0.910250865051903</v>
      </c>
    </row>
    <row r="22" ht="20.05" customHeight="1">
      <c r="B22" s="28"/>
      <c r="C22" s="13"/>
      <c r="D22" s="14">
        <f>'Model'!C6</f>
        <v>634.225</v>
      </c>
      <c r="E22" s="16"/>
      <c r="F22" s="16"/>
      <c r="G22" s="12"/>
      <c r="H22" s="12">
        <f>'Model'!C7</f>
        <v>-0.862556663644606</v>
      </c>
      <c r="I22" s="18"/>
      <c r="J22" s="20"/>
    </row>
    <row r="23" ht="20.05" customHeight="1">
      <c r="B23" s="29">
        <v>2022</v>
      </c>
      <c r="C23" s="13"/>
      <c r="D23" s="14">
        <f>'Model'!D6</f>
        <v>621.5405</v>
      </c>
      <c r="E23" s="16"/>
      <c r="F23" s="16"/>
      <c r="G23" s="30"/>
      <c r="H23" s="12"/>
      <c r="I23" s="12"/>
      <c r="J23" s="12"/>
    </row>
    <row r="24" ht="20.05" customHeight="1">
      <c r="B24" s="28"/>
      <c r="C24" s="13"/>
      <c r="D24" s="14">
        <f>'Model'!E6</f>
        <v>578.032665</v>
      </c>
      <c r="E24" s="16"/>
      <c r="F24" s="16"/>
      <c r="G24" s="30"/>
      <c r="H24" s="12"/>
      <c r="I24" s="12"/>
      <c r="J24" s="12"/>
    </row>
    <row r="25" ht="20.05" customHeight="1">
      <c r="B25" s="28"/>
      <c r="C25" s="13"/>
      <c r="D25" s="14">
        <f>'Model'!F6</f>
        <v>664.73756475</v>
      </c>
      <c r="E25" s="16"/>
      <c r="F25" s="16"/>
      <c r="G25" s="30"/>
      <c r="H25" s="12"/>
      <c r="I25" s="12"/>
      <c r="J25" s="12"/>
    </row>
  </sheetData>
  <mergeCells count="1">
    <mergeCell ref="B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L2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25" style="31" customWidth="1"/>
    <col min="2" max="2" width="9.5625" style="31" customWidth="1"/>
    <col min="3" max="12" width="9.67188" style="31" customWidth="1"/>
    <col min="13" max="16384" width="16.3516" style="31" customWidth="1"/>
  </cols>
  <sheetData>
    <row r="1" ht="13.85" customHeight="1"/>
    <row r="2" ht="27.65" customHeight="1">
      <c r="B2" t="s" s="2">
        <v>32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46.75" customHeight="1">
      <c r="B3" t="s" s="4">
        <v>1</v>
      </c>
      <c r="C3" t="s" s="4">
        <v>45</v>
      </c>
      <c r="D3" t="s" s="4">
        <v>8</v>
      </c>
      <c r="E3" t="s" s="4">
        <v>9</v>
      </c>
      <c r="F3" t="s" s="4">
        <v>10</v>
      </c>
      <c r="G3" t="s" s="4">
        <v>12</v>
      </c>
      <c r="H3" t="s" s="4">
        <v>13</v>
      </c>
      <c r="I3" t="s" s="4">
        <v>11</v>
      </c>
      <c r="J3" t="s" s="4">
        <v>46</v>
      </c>
      <c r="K3" t="s" s="4">
        <v>32</v>
      </c>
      <c r="L3" t="s" s="4">
        <v>28</v>
      </c>
    </row>
    <row r="4" ht="21.2" customHeight="1">
      <c r="B4" s="23">
        <v>2017</v>
      </c>
      <c r="C4" s="32">
        <v>0</v>
      </c>
      <c r="D4" s="26">
        <v>0</v>
      </c>
      <c r="E4" s="26">
        <v>0</v>
      </c>
      <c r="F4" s="26">
        <v>0</v>
      </c>
      <c r="G4" s="26">
        <v>120.925</v>
      </c>
      <c r="H4" s="26">
        <v>-27.25</v>
      </c>
      <c r="I4" s="26">
        <v>0</v>
      </c>
      <c r="J4" s="33">
        <f>D4+E4+F4</f>
        <v>0</v>
      </c>
      <c r="K4" s="33">
        <f>AVERAGE(J4:J4)</f>
        <v>0</v>
      </c>
      <c r="L4" s="26">
        <f>-(I4-F4)</f>
        <v>0</v>
      </c>
    </row>
    <row r="5" ht="21.2" customHeight="1">
      <c r="B5" s="28"/>
      <c r="C5" s="15">
        <v>1049.8</v>
      </c>
      <c r="D5" s="16">
        <v>28.8</v>
      </c>
      <c r="E5" s="16">
        <v>-263.5</v>
      </c>
      <c r="F5" s="16">
        <v>0</v>
      </c>
      <c r="G5" s="16">
        <v>120.925</v>
      </c>
      <c r="H5" s="16">
        <v>-27.25</v>
      </c>
      <c r="I5" s="16">
        <v>219.8</v>
      </c>
      <c r="J5" s="34">
        <f>D5+E5+F5</f>
        <v>-234.7</v>
      </c>
      <c r="K5" s="34">
        <f>AVERAGE(J4:J5)</f>
        <v>-117.35</v>
      </c>
      <c r="L5" s="16">
        <f>-(I5-F5)+L4</f>
        <v>-219.8</v>
      </c>
    </row>
    <row r="6" ht="21.2" customHeight="1">
      <c r="B6" s="28"/>
      <c r="C6" s="15">
        <v>505.2</v>
      </c>
      <c r="D6" s="16">
        <v>55.1</v>
      </c>
      <c r="E6" s="16">
        <v>-112.5</v>
      </c>
      <c r="F6" s="16">
        <v>0</v>
      </c>
      <c r="G6" s="16">
        <v>120.925</v>
      </c>
      <c r="H6" s="16">
        <v>-27.25</v>
      </c>
      <c r="I6" s="16">
        <v>19.6</v>
      </c>
      <c r="J6" s="34">
        <f>D6+E6+F6</f>
        <v>-57.4</v>
      </c>
      <c r="K6" s="34">
        <f>AVERAGE(J4:J6)</f>
        <v>-97.3666666666667</v>
      </c>
      <c r="L6" s="16">
        <f>-(I6-F6)+L5</f>
        <v>-239.4</v>
      </c>
    </row>
    <row r="7" ht="21.2" customHeight="1">
      <c r="B7" s="28"/>
      <c r="C7" s="15">
        <v>554.6</v>
      </c>
      <c r="D7" s="16">
        <v>24.2</v>
      </c>
      <c r="E7" s="16">
        <v>-83.59999999999999</v>
      </c>
      <c r="F7" s="16">
        <v>0</v>
      </c>
      <c r="G7" s="16">
        <v>120.925</v>
      </c>
      <c r="H7" s="16">
        <v>-27.25</v>
      </c>
      <c r="I7" s="16">
        <v>133.2</v>
      </c>
      <c r="J7" s="34">
        <f>D7+E7+F7</f>
        <v>-59.4</v>
      </c>
      <c r="K7" s="34">
        <f>AVERAGE(J4:J7)</f>
        <v>-87.875</v>
      </c>
      <c r="L7" s="16">
        <f>-(I7-F7)+L6</f>
        <v>-372.6</v>
      </c>
    </row>
    <row r="8" ht="21.2" customHeight="1">
      <c r="B8" s="29">
        <v>2018</v>
      </c>
      <c r="C8" s="15">
        <v>539.4</v>
      </c>
      <c r="D8" s="16">
        <v>-16.9</v>
      </c>
      <c r="E8" s="16">
        <v>-88.3</v>
      </c>
      <c r="F8" s="16">
        <v>0</v>
      </c>
      <c r="G8" s="16">
        <v>-63.75</v>
      </c>
      <c r="H8" s="16">
        <v>158.5</v>
      </c>
      <c r="I8" s="16">
        <v>-8.1</v>
      </c>
      <c r="J8" s="34">
        <f>D8+E8+F8</f>
        <v>-105.2</v>
      </c>
      <c r="K8" s="34">
        <f>AVERAGE(J5:J8)</f>
        <v>-114.175</v>
      </c>
      <c r="L8" s="16">
        <f>-(I8-F8)+L7</f>
        <v>-364.5</v>
      </c>
    </row>
    <row r="9" ht="21.2" customHeight="1">
      <c r="B9" s="28"/>
      <c r="C9" s="15">
        <v>533.9</v>
      </c>
      <c r="D9" s="16">
        <v>-67.7</v>
      </c>
      <c r="E9" s="16">
        <v>-87.2</v>
      </c>
      <c r="F9" s="16">
        <v>0</v>
      </c>
      <c r="G9" s="16">
        <v>-63.75</v>
      </c>
      <c r="H9" s="16">
        <v>158.5</v>
      </c>
      <c r="I9" s="16">
        <v>403.2</v>
      </c>
      <c r="J9" s="34">
        <f>D9+E9+F9</f>
        <v>-154.9</v>
      </c>
      <c r="K9" s="34">
        <f>AVERAGE(J6:J9)</f>
        <v>-94.22499999999999</v>
      </c>
      <c r="L9" s="16">
        <f>-(I9-F9)+L8</f>
        <v>-767.7</v>
      </c>
    </row>
    <row r="10" ht="21.2" customHeight="1">
      <c r="B10" s="28"/>
      <c r="C10" s="15">
        <v>487.9</v>
      </c>
      <c r="D10" s="16">
        <v>-35.4</v>
      </c>
      <c r="E10" s="16">
        <v>-68.90000000000001</v>
      </c>
      <c r="F10" s="16">
        <v>0</v>
      </c>
      <c r="G10" s="16">
        <v>-63.75</v>
      </c>
      <c r="H10" s="16">
        <v>158.5</v>
      </c>
      <c r="I10" s="16">
        <v>99.40000000000001</v>
      </c>
      <c r="J10" s="34">
        <f>D10+E10+F10</f>
        <v>-104.3</v>
      </c>
      <c r="K10" s="34">
        <f>AVERAGE(J7:J10)</f>
        <v>-105.95</v>
      </c>
      <c r="L10" s="16">
        <f>-(I10-F10)+L9</f>
        <v>-867.1</v>
      </c>
    </row>
    <row r="11" ht="21.2" customHeight="1">
      <c r="B11" s="28"/>
      <c r="C11" s="15">
        <v>581.3</v>
      </c>
      <c r="D11" s="16">
        <v>100.2</v>
      </c>
      <c r="E11" s="16">
        <v>-144.8</v>
      </c>
      <c r="F11" s="16">
        <v>0</v>
      </c>
      <c r="G11" s="16">
        <v>-63.75</v>
      </c>
      <c r="H11" s="16">
        <v>158.5</v>
      </c>
      <c r="I11" s="16">
        <v>-154.3</v>
      </c>
      <c r="J11" s="34">
        <f>D11+E11+F11</f>
        <v>-44.6</v>
      </c>
      <c r="K11" s="34">
        <f>AVERAGE(J8:J11)</f>
        <v>-102.25</v>
      </c>
      <c r="L11" s="16">
        <f>-(I11-F11)+L10</f>
        <v>-712.8</v>
      </c>
    </row>
    <row r="12" ht="21.2" customHeight="1">
      <c r="B12" s="29">
        <v>2019</v>
      </c>
      <c r="C12" s="15">
        <v>601.4</v>
      </c>
      <c r="D12" s="16">
        <v>145.9</v>
      </c>
      <c r="E12" s="16">
        <v>-65.2</v>
      </c>
      <c r="F12" s="16">
        <v>0</v>
      </c>
      <c r="G12" s="16">
        <v>53.3125</v>
      </c>
      <c r="H12" s="16">
        <v>-25.65</v>
      </c>
      <c r="I12" s="16">
        <v>7.4</v>
      </c>
      <c r="J12" s="34">
        <f>D12+E12+F12</f>
        <v>80.7</v>
      </c>
      <c r="K12" s="34">
        <f>AVERAGE(J9:J12)</f>
        <v>-55.775</v>
      </c>
      <c r="L12" s="16">
        <f>-(I12-F12)+L11</f>
        <v>-720.2</v>
      </c>
    </row>
    <row r="13" ht="21.2" customHeight="1">
      <c r="B13" s="28"/>
      <c r="C13" s="15">
        <v>495.3</v>
      </c>
      <c r="D13" s="16">
        <v>-14.1</v>
      </c>
      <c r="E13" s="16">
        <v>-105.4</v>
      </c>
      <c r="F13" s="16">
        <v>0</v>
      </c>
      <c r="G13" s="16">
        <v>53.3125</v>
      </c>
      <c r="H13" s="16">
        <v>-25.65</v>
      </c>
      <c r="I13" s="16">
        <v>39.3</v>
      </c>
      <c r="J13" s="34">
        <f>D13+E13+F13</f>
        <v>-119.5</v>
      </c>
      <c r="K13" s="34">
        <f>AVERAGE(J10:J13)</f>
        <v>-46.925</v>
      </c>
      <c r="L13" s="16">
        <f>-(I13-F13)+L12</f>
        <v>-759.5</v>
      </c>
    </row>
    <row r="14" ht="21.2" customHeight="1">
      <c r="B14" s="28"/>
      <c r="C14" s="15">
        <v>563.9</v>
      </c>
      <c r="D14" s="16">
        <v>96.7</v>
      </c>
      <c r="E14" s="16">
        <v>-97.59999999999999</v>
      </c>
      <c r="F14" s="16">
        <v>0</v>
      </c>
      <c r="G14" s="16">
        <v>53.3125</v>
      </c>
      <c r="H14" s="16">
        <v>-25.65</v>
      </c>
      <c r="I14" s="16">
        <v>52.7</v>
      </c>
      <c r="J14" s="34">
        <f>D14+E14+F14</f>
        <v>-0.9</v>
      </c>
      <c r="K14" s="34">
        <f>AVERAGE(J11:J14)</f>
        <v>-21.075</v>
      </c>
      <c r="L14" s="16">
        <f>-(I14-F14)+L13</f>
        <v>-812.2</v>
      </c>
    </row>
    <row r="15" ht="21.2" customHeight="1">
      <c r="B15" s="28"/>
      <c r="C15" s="15">
        <v>593.6</v>
      </c>
      <c r="D15" s="16">
        <v>130.3</v>
      </c>
      <c r="E15" s="16">
        <v>-138.3</v>
      </c>
      <c r="F15" s="16">
        <v>0</v>
      </c>
      <c r="G15" s="16">
        <v>53.3125</v>
      </c>
      <c r="H15" s="16">
        <v>-25.65</v>
      </c>
      <c r="I15" s="16">
        <v>4.4</v>
      </c>
      <c r="J15" s="34">
        <f>D15+E15+F15</f>
        <v>-8</v>
      </c>
      <c r="K15" s="34">
        <f>AVERAGE(J12:J15)</f>
        <v>-11.925</v>
      </c>
      <c r="L15" s="16">
        <f>-(I15-F15)+L14</f>
        <v>-816.6</v>
      </c>
    </row>
    <row r="16" ht="21.2" customHeight="1">
      <c r="B16" s="29">
        <v>2020</v>
      </c>
      <c r="C16" s="15">
        <v>567.5</v>
      </c>
      <c r="D16" s="16">
        <v>72.2</v>
      </c>
      <c r="E16" s="16">
        <v>-61</v>
      </c>
      <c r="F16" s="16">
        <f>42.7-G16</f>
        <v>-12.6</v>
      </c>
      <c r="G16" s="16">
        <f>-0.9+58.1-1.9</f>
        <v>55.3</v>
      </c>
      <c r="H16" s="16"/>
      <c r="I16" s="16">
        <f>F16+G16+H16</f>
        <v>42.7</v>
      </c>
      <c r="J16" s="34">
        <f>D16+E16+F16</f>
        <v>-1.4</v>
      </c>
      <c r="K16" s="34">
        <f>AVERAGE(J13:J16)</f>
        <v>-32.45</v>
      </c>
      <c r="L16" s="16">
        <f>-(I16-F16)+L15</f>
        <v>-871.9</v>
      </c>
    </row>
    <row r="17" ht="21.2" customHeight="1">
      <c r="B17" s="28"/>
      <c r="C17" s="15">
        <v>458.6</v>
      </c>
      <c r="D17" s="16">
        <v>-86.40000000000001</v>
      </c>
      <c r="E17" s="16">
        <v>-38.8</v>
      </c>
      <c r="F17" s="16">
        <f>41.16-G17-G16-F16</f>
        <v>-1.74</v>
      </c>
      <c r="G17" s="16">
        <f>-0.9+59.9-3.5-G16</f>
        <v>0.2</v>
      </c>
      <c r="H17" s="16"/>
      <c r="I17" s="16">
        <f>F17+G17+H17</f>
        <v>-1.54</v>
      </c>
      <c r="J17" s="34">
        <f>D17+E17+F17</f>
        <v>-126.94</v>
      </c>
      <c r="K17" s="34">
        <f>AVERAGE(J14:J17)</f>
        <v>-34.31</v>
      </c>
      <c r="L17" s="16">
        <f>-(I17-F17)+L16</f>
        <v>-872.1</v>
      </c>
    </row>
    <row r="18" ht="21.2" customHeight="1">
      <c r="B18" s="28"/>
      <c r="C18" s="15">
        <v>444.4</v>
      </c>
      <c r="D18" s="16">
        <v>116.9</v>
      </c>
      <c r="E18" s="16">
        <v>-212</v>
      </c>
      <c r="F18" s="16">
        <f>221.5-H18-H17-H16-G18-G17-G16-F17-F16</f>
        <v>235.64</v>
      </c>
      <c r="G18" s="16">
        <f>-0.9+59.9-4.8-G17-G16</f>
        <v>-1.3</v>
      </c>
      <c r="H18" s="16">
        <f>-54-H17-H16</f>
        <v>-54</v>
      </c>
      <c r="I18" s="16">
        <f>F18+G18+H18</f>
        <v>180.34</v>
      </c>
      <c r="J18" s="34">
        <f>D18+E18+F18</f>
        <v>140.54</v>
      </c>
      <c r="K18" s="34">
        <f>AVERAGE(J15:J18)</f>
        <v>1.05</v>
      </c>
      <c r="L18" s="16">
        <f>-(I18-F18)+L17</f>
        <v>-816.8</v>
      </c>
    </row>
    <row r="19" ht="21.2" customHeight="1">
      <c r="B19" s="28"/>
      <c r="C19" s="15">
        <v>526.1</v>
      </c>
      <c r="D19" s="16">
        <v>176.2</v>
      </c>
      <c r="E19" s="16">
        <v>172.9</v>
      </c>
      <c r="F19" s="16">
        <f>-70.9-H19-H18-H17-H16-G19-G18-G17-G16-F18-F17-F16</f>
        <v>-235.1</v>
      </c>
      <c r="G19" s="16">
        <f>-0.9+58.9-7.1-G18-G17-G16</f>
        <v>-3.3</v>
      </c>
      <c r="H19" s="16">
        <f>-108-H18-H17-H16</f>
        <v>-54</v>
      </c>
      <c r="I19" s="16">
        <f>F19+G19+H19</f>
        <v>-292.4</v>
      </c>
      <c r="J19" s="34">
        <f>D19+E19+F19</f>
        <v>114</v>
      </c>
      <c r="K19" s="34">
        <f>AVERAGE(J16:J19)</f>
        <v>31.55</v>
      </c>
      <c r="L19" s="16">
        <f>-(I19-F19)+L18</f>
        <v>-759.5</v>
      </c>
    </row>
    <row r="20" ht="21.2" customHeight="1">
      <c r="B20" s="29">
        <v>2021</v>
      </c>
      <c r="C20" s="15">
        <v>554.8</v>
      </c>
      <c r="D20" s="16">
        <v>165.2</v>
      </c>
      <c r="E20" s="16">
        <v>-8.9</v>
      </c>
      <c r="F20" s="16">
        <f>-6.5-0.29</f>
        <v>-6.79</v>
      </c>
      <c r="G20" s="16">
        <v>-2</v>
      </c>
      <c r="H20" s="16"/>
      <c r="I20" s="16">
        <f>F20+G20+H20</f>
        <v>-8.789999999999999</v>
      </c>
      <c r="J20" s="34">
        <f>D20+E20+F20</f>
        <v>149.51</v>
      </c>
      <c r="K20" s="34">
        <f>AVERAGE(J17:J20)</f>
        <v>69.2775</v>
      </c>
      <c r="L20" s="16">
        <f>-(I20-F20)+L19</f>
        <v>-757.5</v>
      </c>
    </row>
    <row r="21" ht="21.2" customHeight="1">
      <c r="B21" s="28"/>
      <c r="C21" s="15">
        <f>1074.3-C20</f>
        <v>519.5</v>
      </c>
      <c r="D21" s="16">
        <f>173.6-D20</f>
        <v>8.4</v>
      </c>
      <c r="E21" s="16">
        <f>-23.7-E20</f>
        <v>-14.8</v>
      </c>
      <c r="F21" s="16">
        <f>-19.1-G21-G20-F20</f>
        <v>-11.81</v>
      </c>
      <c r="G21" s="16">
        <f>-0.5-G20</f>
        <v>1.5</v>
      </c>
      <c r="H21" s="16"/>
      <c r="I21" s="16">
        <f>F21+G21+H21</f>
        <v>-10.31</v>
      </c>
      <c r="J21" s="34">
        <f>D21+E21+F21</f>
        <v>-18.21</v>
      </c>
      <c r="K21" s="34">
        <f>AVERAGE(J18:J21)</f>
        <v>96.45999999999999</v>
      </c>
      <c r="L21" s="16">
        <f>-(I21-F21)+L20</f>
        <v>-759</v>
      </c>
    </row>
    <row r="22" ht="21.2" customHeight="1">
      <c r="B22" s="28"/>
      <c r="C22" s="15">
        <f>1536.7-SUM(C20:C21)</f>
        <v>462.4</v>
      </c>
      <c r="D22" s="16">
        <f>215.1-SUM(D20:D21)</f>
        <v>41.5</v>
      </c>
      <c r="E22" s="16">
        <f>-12.4-SUM(E20:E21)</f>
        <v>11.3</v>
      </c>
      <c r="F22" s="16">
        <f>-89.2-H22-H21-H20-G22-G21-G20-F21-F20</f>
        <v>-0.45</v>
      </c>
      <c r="G22" s="16">
        <f>-12.4-10.75-G21-G20</f>
        <v>-22.65</v>
      </c>
      <c r="H22" s="16">
        <f>-47-H21-H20</f>
        <v>-47</v>
      </c>
      <c r="I22" s="16">
        <f>F22+G22+H22</f>
        <v>-70.09999999999999</v>
      </c>
      <c r="J22" s="34">
        <f>D22+E22+F22</f>
        <v>52.35</v>
      </c>
      <c r="K22" s="34">
        <f>AVERAGE(J19:J22)</f>
        <v>74.41249999999999</v>
      </c>
      <c r="L22" s="16">
        <f>-(I22-F22)+L21</f>
        <v>-689.35</v>
      </c>
    </row>
    <row r="23" ht="21.2" customHeight="1">
      <c r="B23" s="28"/>
      <c r="C23" s="15"/>
      <c r="D23" s="16"/>
      <c r="E23" s="16"/>
      <c r="F23" s="16"/>
      <c r="G23" s="16"/>
      <c r="H23" s="16"/>
      <c r="I23" s="16"/>
      <c r="J23" s="34"/>
      <c r="K23" s="34">
        <f>SUM('Model'!F9:F11)</f>
        <v>89.1637487</v>
      </c>
      <c r="L23" s="16">
        <f>'Model'!F33</f>
        <v>-489.82728024</v>
      </c>
    </row>
  </sheetData>
  <mergeCells count="1">
    <mergeCell ref="B2:L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1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6875" style="35" customWidth="1"/>
    <col min="2" max="11" width="9.21875" style="35" customWidth="1"/>
    <col min="12" max="16384" width="16.3516" style="35" customWidth="1"/>
  </cols>
  <sheetData>
    <row r="1" ht="7.55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47</v>
      </c>
      <c r="D3" t="s" s="4">
        <v>48</v>
      </c>
      <c r="E3" t="s" s="4">
        <v>22</v>
      </c>
      <c r="F3" t="s" s="4">
        <v>23</v>
      </c>
      <c r="G3" t="s" s="4">
        <v>12</v>
      </c>
      <c r="H3" t="s" s="4">
        <v>13</v>
      </c>
      <c r="I3" t="s" s="4">
        <v>49</v>
      </c>
      <c r="J3" t="s" s="4">
        <v>50</v>
      </c>
      <c r="K3" t="s" s="4">
        <v>34</v>
      </c>
    </row>
    <row r="4" ht="20.25" customHeight="1">
      <c r="B4" s="23">
        <v>2018</v>
      </c>
      <c r="C4" s="32"/>
      <c r="D4" s="26"/>
      <c r="E4" s="26">
        <f>D4-C4</f>
        <v>0</v>
      </c>
      <c r="F4" s="26"/>
      <c r="G4" s="26"/>
      <c r="H4" s="26"/>
      <c r="I4" s="26">
        <f>G4+H4-C4-E4</f>
        <v>0</v>
      </c>
      <c r="J4" s="26"/>
      <c r="K4" s="26"/>
    </row>
    <row r="5" ht="20.05" customHeight="1">
      <c r="B5" s="28"/>
      <c r="C5" s="15">
        <v>295</v>
      </c>
      <c r="D5" s="16">
        <v>2464</v>
      </c>
      <c r="E5" s="16">
        <f>D5-C5</f>
        <v>2169</v>
      </c>
      <c r="F5" s="16">
        <v>44</v>
      </c>
      <c r="G5" s="16">
        <v>936</v>
      </c>
      <c r="H5" s="16">
        <v>1528</v>
      </c>
      <c r="I5" s="16">
        <f>G5+H5-C5-E5</f>
        <v>0</v>
      </c>
      <c r="J5" s="16">
        <f>C5-G5</f>
        <v>-641</v>
      </c>
      <c r="K5" s="16"/>
    </row>
    <row r="6" ht="20.05" customHeight="1">
      <c r="B6" s="28"/>
      <c r="C6" s="15">
        <v>290</v>
      </c>
      <c r="D6" s="16">
        <v>2687</v>
      </c>
      <c r="E6" s="16">
        <f>D6-C6</f>
        <v>2397</v>
      </c>
      <c r="F6" s="16">
        <v>52</v>
      </c>
      <c r="G6" s="16">
        <v>1126</v>
      </c>
      <c r="H6" s="16">
        <v>1561</v>
      </c>
      <c r="I6" s="16">
        <f>G6+H6-C6-E6</f>
        <v>0</v>
      </c>
      <c r="J6" s="16">
        <f>C6-G6</f>
        <v>-836</v>
      </c>
      <c r="K6" s="16"/>
    </row>
    <row r="7" ht="20.05" customHeight="1">
      <c r="B7" s="28"/>
      <c r="C7" s="15">
        <v>93</v>
      </c>
      <c r="D7" s="16">
        <v>2480</v>
      </c>
      <c r="E7" s="16">
        <f>D7-C7</f>
        <v>2387</v>
      </c>
      <c r="F7" s="16">
        <v>63</v>
      </c>
      <c r="G7" s="16">
        <v>903</v>
      </c>
      <c r="H7" s="16">
        <v>1577</v>
      </c>
      <c r="I7" s="16">
        <f>G7+H7-C7-E7</f>
        <v>0</v>
      </c>
      <c r="J7" s="16">
        <f>C7-G7</f>
        <v>-810</v>
      </c>
      <c r="K7" s="16"/>
    </row>
    <row r="8" ht="20.05" customHeight="1">
      <c r="B8" s="29">
        <v>2019</v>
      </c>
      <c r="C8" s="15">
        <v>181</v>
      </c>
      <c r="D8" s="16">
        <v>2636</v>
      </c>
      <c r="E8" s="16">
        <f>D8-C8</f>
        <v>2455</v>
      </c>
      <c r="F8" s="16">
        <v>76</v>
      </c>
      <c r="G8" s="16">
        <v>994</v>
      </c>
      <c r="H8" s="16">
        <v>1642</v>
      </c>
      <c r="I8" s="16">
        <f>G8+H8-C8-E8</f>
        <v>0</v>
      </c>
      <c r="J8" s="16">
        <f>C8-G8</f>
        <v>-813</v>
      </c>
      <c r="K8" s="16"/>
    </row>
    <row r="9" ht="20.05" customHeight="1">
      <c r="B9" s="28"/>
      <c r="C9" s="15">
        <v>101</v>
      </c>
      <c r="D9" s="16">
        <v>2665</v>
      </c>
      <c r="E9" s="16">
        <f>D9-C9</f>
        <v>2564</v>
      </c>
      <c r="F9" s="16">
        <v>87</v>
      </c>
      <c r="G9" s="16">
        <v>1028</v>
      </c>
      <c r="H9" s="16">
        <v>1637</v>
      </c>
      <c r="I9" s="16">
        <f>G9+H9-C9-E9</f>
        <v>0</v>
      </c>
      <c r="J9" s="16">
        <f>C9-G9</f>
        <v>-927</v>
      </c>
      <c r="K9" s="16"/>
    </row>
    <row r="10" ht="20.05" customHeight="1">
      <c r="B10" s="28"/>
      <c r="C10" s="15">
        <v>153</v>
      </c>
      <c r="D10" s="16">
        <v>2820</v>
      </c>
      <c r="E10" s="16">
        <f>D10-C10</f>
        <v>2667</v>
      </c>
      <c r="F10" s="16">
        <v>99</v>
      </c>
      <c r="G10" s="16">
        <v>1131</v>
      </c>
      <c r="H10" s="16">
        <v>1689</v>
      </c>
      <c r="I10" s="16">
        <f>G10+H10-C10-E10</f>
        <v>0</v>
      </c>
      <c r="J10" s="16">
        <f>C10-G10</f>
        <v>-978</v>
      </c>
      <c r="K10" s="16"/>
    </row>
    <row r="11" ht="20.05" customHeight="1">
      <c r="B11" s="28"/>
      <c r="C11" s="15">
        <v>149</v>
      </c>
      <c r="D11" s="16">
        <v>2936</v>
      </c>
      <c r="E11" s="16">
        <f>D11-C11</f>
        <v>2787</v>
      </c>
      <c r="F11" s="16">
        <f>111</f>
        <v>111</v>
      </c>
      <c r="G11" s="16">
        <v>1245</v>
      </c>
      <c r="H11" s="16">
        <v>1691</v>
      </c>
      <c r="I11" s="16">
        <f>G11+H11-C11-E11</f>
        <v>0</v>
      </c>
      <c r="J11" s="16">
        <f>C11-G11</f>
        <v>-1096</v>
      </c>
      <c r="K11" s="16"/>
    </row>
    <row r="12" ht="20.05" customHeight="1">
      <c r="B12" s="29">
        <v>2020</v>
      </c>
      <c r="C12" s="15">
        <v>202</v>
      </c>
      <c r="D12" s="16">
        <v>3150</v>
      </c>
      <c r="E12" s="16">
        <f>D12-C12</f>
        <v>2948</v>
      </c>
      <c r="F12" s="16">
        <f>124</f>
        <v>124</v>
      </c>
      <c r="G12" s="16">
        <v>1414</v>
      </c>
      <c r="H12" s="16">
        <v>1736</v>
      </c>
      <c r="I12" s="16">
        <f>G12+H12-C12-E12</f>
        <v>0</v>
      </c>
      <c r="J12" s="16">
        <f>C12-G12</f>
        <v>-1212</v>
      </c>
      <c r="K12" s="16"/>
    </row>
    <row r="13" ht="20.05" customHeight="1">
      <c r="B13" s="28"/>
      <c r="C13" s="15">
        <v>76</v>
      </c>
      <c r="D13" s="16">
        <v>2889</v>
      </c>
      <c r="E13" s="16">
        <f>D13-C13</f>
        <v>2813</v>
      </c>
      <c r="F13" s="16">
        <f>139+1</f>
        <v>140</v>
      </c>
      <c r="G13" s="16">
        <v>1108</v>
      </c>
      <c r="H13" s="16">
        <v>1781</v>
      </c>
      <c r="I13" s="16">
        <f>G13+H13-C13-E13</f>
        <v>0</v>
      </c>
      <c r="J13" s="16">
        <f>C13-G13</f>
        <v>-1032</v>
      </c>
      <c r="K13" s="16"/>
    </row>
    <row r="14" ht="20.05" customHeight="1">
      <c r="B14" s="28"/>
      <c r="C14" s="15">
        <v>161</v>
      </c>
      <c r="D14" s="16">
        <v>3062</v>
      </c>
      <c r="E14" s="16">
        <f>D14-C14</f>
        <v>2901</v>
      </c>
      <c r="F14" s="16">
        <f>149+2</f>
        <v>151</v>
      </c>
      <c r="G14" s="16">
        <v>1100</v>
      </c>
      <c r="H14" s="16">
        <v>1962</v>
      </c>
      <c r="I14" s="16">
        <f>G14+H14-C14-E14</f>
        <v>0</v>
      </c>
      <c r="J14" s="16">
        <f>C14-G14</f>
        <v>-939</v>
      </c>
      <c r="K14" s="16"/>
    </row>
    <row r="15" ht="20.05" customHeight="1">
      <c r="B15" s="28"/>
      <c r="C15" s="15">
        <v>218</v>
      </c>
      <c r="D15" s="16">
        <v>3036</v>
      </c>
      <c r="E15" s="16">
        <f>D15-C15</f>
        <v>2818</v>
      </c>
      <c r="F15" s="16">
        <f>164+3</f>
        <v>167</v>
      </c>
      <c r="G15" s="16">
        <v>1095</v>
      </c>
      <c r="H15" s="16">
        <v>1941</v>
      </c>
      <c r="I15" s="16">
        <f>G15+H15-C15-E15</f>
        <v>0</v>
      </c>
      <c r="J15" s="16">
        <f>C15-G15</f>
        <v>-877</v>
      </c>
      <c r="K15" s="16"/>
    </row>
    <row r="16" ht="20.05" customHeight="1">
      <c r="B16" s="29">
        <v>2021</v>
      </c>
      <c r="C16" s="15">
        <v>367</v>
      </c>
      <c r="D16" s="16">
        <v>3115</v>
      </c>
      <c r="E16" s="16">
        <f>D16-C16</f>
        <v>2748</v>
      </c>
      <c r="F16" s="16">
        <f>175+4</f>
        <v>179</v>
      </c>
      <c r="G16" s="16">
        <v>1120</v>
      </c>
      <c r="H16" s="16">
        <v>1995</v>
      </c>
      <c r="I16" s="16">
        <f>G16+H16-C16-E16</f>
        <v>0</v>
      </c>
      <c r="J16" s="16">
        <f>C16-G16</f>
        <v>-753</v>
      </c>
      <c r="K16" s="16"/>
    </row>
    <row r="17" ht="20.05" customHeight="1">
      <c r="B17" s="28"/>
      <c r="C17" s="15">
        <v>349</v>
      </c>
      <c r="D17" s="16">
        <v>3063</v>
      </c>
      <c r="E17" s="16">
        <f>D17-C17</f>
        <v>2714</v>
      </c>
      <c r="F17" s="16">
        <f>190+4</f>
        <v>194</v>
      </c>
      <c r="G17" s="16">
        <v>1070</v>
      </c>
      <c r="H17" s="16">
        <v>1993</v>
      </c>
      <c r="I17" s="16">
        <f>G17+H17-C17-E17</f>
        <v>0</v>
      </c>
      <c r="J17" s="16">
        <f>C17-G17</f>
        <v>-721</v>
      </c>
      <c r="K17" s="16"/>
    </row>
    <row r="18" ht="20.05" customHeight="1">
      <c r="B18" s="28"/>
      <c r="C18" s="15">
        <v>331</v>
      </c>
      <c r="D18" s="16">
        <v>3133</v>
      </c>
      <c r="E18" s="16">
        <f>D18-C18</f>
        <v>2802</v>
      </c>
      <c r="F18" s="16">
        <f>213+5+30</f>
        <v>248</v>
      </c>
      <c r="G18" s="16">
        <v>1096</v>
      </c>
      <c r="H18" s="16">
        <v>2037</v>
      </c>
      <c r="I18" s="16">
        <f>G18+H18-C18-E18</f>
        <v>0</v>
      </c>
      <c r="J18" s="16">
        <f>C18-G18</f>
        <v>-765</v>
      </c>
      <c r="K18" s="16">
        <f>J18</f>
        <v>-765</v>
      </c>
    </row>
    <row r="19" ht="20.05" customHeight="1">
      <c r="B19" s="28"/>
      <c r="C19" s="15"/>
      <c r="D19" s="16"/>
      <c r="E19" s="16"/>
      <c r="F19" s="16"/>
      <c r="G19" s="16"/>
      <c r="H19" s="16"/>
      <c r="I19" s="16"/>
      <c r="J19" s="16"/>
      <c r="K19" s="16">
        <f>'Model'!F31</f>
        <v>-494.89503931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5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36" customWidth="1"/>
    <col min="2" max="4" width="9.9375" style="36" customWidth="1"/>
    <col min="5" max="16384" width="16.3516" style="36" customWidth="1"/>
  </cols>
  <sheetData>
    <row r="1" ht="30.75" customHeight="1"/>
    <row r="2" ht="27.65" customHeight="1">
      <c r="B2" t="s" s="2">
        <v>51</v>
      </c>
      <c r="C2" s="2"/>
      <c r="D2" s="2"/>
    </row>
    <row r="3" ht="20.25" customHeight="1">
      <c r="B3" s="5"/>
      <c r="C3" t="s" s="37">
        <v>52</v>
      </c>
      <c r="D3" t="s" s="37">
        <v>37</v>
      </c>
    </row>
    <row r="4" ht="20.25" customHeight="1">
      <c r="B4" s="23">
        <v>2018</v>
      </c>
      <c r="C4" s="38"/>
      <c r="D4" s="39"/>
    </row>
    <row r="5" ht="20.05" customHeight="1">
      <c r="B5" s="28"/>
      <c r="C5" s="40"/>
      <c r="D5" s="41"/>
    </row>
    <row r="6" ht="20.05" customHeight="1">
      <c r="B6" s="28"/>
      <c r="C6" s="40"/>
      <c r="D6" s="41"/>
    </row>
    <row r="7" ht="20.05" customHeight="1">
      <c r="B7" s="28"/>
      <c r="C7" s="40"/>
      <c r="D7" s="41"/>
    </row>
    <row r="8" ht="20.05" customHeight="1">
      <c r="B8" s="28"/>
      <c r="C8" s="40"/>
      <c r="D8" s="41"/>
    </row>
    <row r="9" ht="20.05" customHeight="1">
      <c r="B9" s="28"/>
      <c r="C9" s="15">
        <v>872.749939</v>
      </c>
      <c r="D9" s="41"/>
    </row>
    <row r="10" ht="20.05" customHeight="1">
      <c r="B10" s="28"/>
      <c r="C10" s="15">
        <v>868.513245</v>
      </c>
      <c r="D10" s="41"/>
    </row>
    <row r="11" ht="20.05" customHeight="1">
      <c r="B11" s="28"/>
      <c r="C11" s="15">
        <v>847.329956</v>
      </c>
      <c r="D11" s="41"/>
    </row>
    <row r="12" ht="20.05" customHeight="1">
      <c r="B12" s="28"/>
      <c r="C12" s="15">
        <v>749.887024</v>
      </c>
      <c r="D12" s="41"/>
    </row>
    <row r="13" ht="20.05" customHeight="1">
      <c r="B13" s="28"/>
      <c r="C13" s="15">
        <v>830.383423</v>
      </c>
      <c r="D13" s="41"/>
    </row>
    <row r="14" ht="20.05" customHeight="1">
      <c r="B14" s="28"/>
      <c r="C14" s="15">
        <v>865.650635</v>
      </c>
      <c r="D14" s="41"/>
    </row>
    <row r="15" ht="20.05" customHeight="1">
      <c r="B15" s="28"/>
      <c r="C15" s="15">
        <v>692.5205079999999</v>
      </c>
      <c r="D15" s="41"/>
    </row>
    <row r="16" ht="20.05" customHeight="1">
      <c r="B16" s="29">
        <v>2019</v>
      </c>
      <c r="C16" s="15">
        <v>848.3376459999999</v>
      </c>
      <c r="D16" s="41"/>
    </row>
    <row r="17" ht="20.05" customHeight="1">
      <c r="B17" s="28"/>
      <c r="C17" s="15">
        <v>831.024536</v>
      </c>
      <c r="D17" s="41"/>
    </row>
    <row r="18" ht="20.05" customHeight="1">
      <c r="B18" s="28"/>
      <c r="C18" s="15">
        <v>813.711609</v>
      </c>
      <c r="D18" s="41"/>
    </row>
    <row r="19" ht="20.05" customHeight="1">
      <c r="B19" s="28"/>
      <c r="C19" s="15">
        <v>844.009399</v>
      </c>
      <c r="D19" s="41"/>
    </row>
    <row r="20" ht="20.05" customHeight="1">
      <c r="B20" s="28"/>
      <c r="C20" s="15">
        <v>978.185242</v>
      </c>
      <c r="D20" s="41"/>
    </row>
    <row r="21" ht="20.05" customHeight="1">
      <c r="B21" s="28"/>
      <c r="C21" s="15">
        <v>938.47937</v>
      </c>
      <c r="D21" s="41"/>
    </row>
    <row r="22" ht="20.05" customHeight="1">
      <c r="B22" s="28"/>
      <c r="C22" s="15">
        <v>938.47937</v>
      </c>
      <c r="D22" s="41"/>
    </row>
    <row r="23" ht="20.05" customHeight="1">
      <c r="B23" s="28"/>
      <c r="C23" s="15">
        <v>863.577209</v>
      </c>
      <c r="D23" s="41"/>
    </row>
    <row r="24" ht="20.05" customHeight="1">
      <c r="B24" s="28"/>
      <c r="C24" s="15">
        <v>859.1712649999999</v>
      </c>
      <c r="D24" s="41"/>
    </row>
    <row r="25" ht="20.05" customHeight="1">
      <c r="B25" s="28"/>
      <c r="C25" s="15">
        <v>828.329224</v>
      </c>
      <c r="D25" s="41"/>
    </row>
    <row r="26" ht="20.05" customHeight="1">
      <c r="B26" s="28"/>
      <c r="C26" s="15">
        <v>755.6300660000001</v>
      </c>
      <c r="D26" s="41"/>
    </row>
    <row r="27" ht="20.05" customHeight="1">
      <c r="B27" s="28"/>
      <c r="C27" s="15">
        <v>764.625671</v>
      </c>
      <c r="D27" s="41"/>
    </row>
    <row r="28" ht="20.05" customHeight="1">
      <c r="B28" s="29">
        <v>2020</v>
      </c>
      <c r="C28" s="15">
        <v>742.136658</v>
      </c>
      <c r="D28" s="41"/>
    </row>
    <row r="29" ht="20.05" customHeight="1">
      <c r="B29" s="28"/>
      <c r="C29" s="15">
        <v>544.233582</v>
      </c>
      <c r="D29" s="41"/>
    </row>
    <row r="30" ht="20.05" customHeight="1">
      <c r="B30" s="28"/>
      <c r="C30" s="15">
        <v>458.775421</v>
      </c>
      <c r="D30" s="41"/>
    </row>
    <row r="31" ht="20.05" customHeight="1">
      <c r="B31" s="28"/>
      <c r="C31" s="15">
        <v>431.788605</v>
      </c>
      <c r="D31" s="41"/>
    </row>
    <row r="32" ht="20.05" customHeight="1">
      <c r="B32" s="28"/>
      <c r="C32" s="15">
        <v>447.980682</v>
      </c>
      <c r="D32" s="41"/>
    </row>
    <row r="33" ht="20.05" customHeight="1">
      <c r="B33" s="28"/>
      <c r="C33" s="15">
        <v>437.833649</v>
      </c>
      <c r="D33" s="41"/>
    </row>
    <row r="34" ht="20.05" customHeight="1">
      <c r="B34" s="28"/>
      <c r="C34" s="15">
        <v>437.833649</v>
      </c>
      <c r="D34" s="41"/>
    </row>
    <row r="35" ht="20.05" customHeight="1">
      <c r="B35" s="28"/>
      <c r="C35" s="15">
        <v>402.283051</v>
      </c>
      <c r="D35" s="41"/>
    </row>
    <row r="36" ht="20.05" customHeight="1">
      <c r="B36" s="28"/>
      <c r="C36" s="15">
        <v>374.216827</v>
      </c>
      <c r="D36" s="41"/>
    </row>
    <row r="37" ht="20.05" customHeight="1">
      <c r="B37" s="28"/>
      <c r="C37" s="15">
        <v>460.286682</v>
      </c>
      <c r="D37" s="41"/>
    </row>
    <row r="38" ht="20.05" customHeight="1">
      <c r="B38" s="28"/>
      <c r="C38" s="15">
        <v>572.282593</v>
      </c>
      <c r="D38" s="41"/>
    </row>
    <row r="39" ht="20.05" customHeight="1">
      <c r="B39" s="28"/>
      <c r="C39" s="15">
        <v>459.782623</v>
      </c>
      <c r="D39" s="41"/>
    </row>
    <row r="40" ht="20.05" customHeight="1">
      <c r="B40" s="29">
        <v>2021</v>
      </c>
      <c r="C40" s="15">
        <v>470</v>
      </c>
      <c r="D40" s="18"/>
    </row>
    <row r="41" ht="20.05" customHeight="1">
      <c r="B41" s="28"/>
      <c r="C41" s="15">
        <v>496</v>
      </c>
      <c r="D41" s="41"/>
    </row>
    <row r="42" ht="20.05" customHeight="1">
      <c r="B42" s="28"/>
      <c r="C42" s="15">
        <v>474</v>
      </c>
      <c r="D42" s="41"/>
    </row>
    <row r="43" ht="20.05" customHeight="1">
      <c r="B43" s="28"/>
      <c r="C43" s="15">
        <v>472</v>
      </c>
      <c r="D43" s="41"/>
    </row>
    <row r="44" ht="20.05" customHeight="1">
      <c r="B44" s="28"/>
      <c r="C44" s="15">
        <v>460</v>
      </c>
      <c r="D44" s="41"/>
    </row>
    <row r="45" ht="20.05" customHeight="1">
      <c r="B45" s="28"/>
      <c r="C45" s="15">
        <v>458</v>
      </c>
      <c r="D45" s="41"/>
    </row>
    <row r="46" ht="20.05" customHeight="1">
      <c r="B46" s="28"/>
      <c r="C46" s="15">
        <v>520</v>
      </c>
      <c r="D46" s="41"/>
    </row>
    <row r="47" ht="20.05" customHeight="1">
      <c r="B47" s="28"/>
      <c r="C47" s="15">
        <v>535</v>
      </c>
      <c r="D47" s="42">
        <v>916.0650828086621</v>
      </c>
    </row>
    <row r="48" ht="20.05" customHeight="1">
      <c r="B48" s="28"/>
      <c r="C48" s="15">
        <v>525</v>
      </c>
      <c r="D48" s="43">
        <v>916.0650828086621</v>
      </c>
    </row>
    <row r="49" ht="20.05" customHeight="1">
      <c r="B49" s="28"/>
      <c r="C49" s="15">
        <v>620</v>
      </c>
      <c r="D49" s="18"/>
    </row>
    <row r="50" ht="20.05" customHeight="1">
      <c r="B50" s="28"/>
      <c r="C50" s="15">
        <v>675</v>
      </c>
      <c r="D50" s="42">
        <f>C50</f>
        <v>675</v>
      </c>
    </row>
    <row r="51" ht="20.05" customHeight="1">
      <c r="B51" s="28"/>
      <c r="C51" s="15"/>
      <c r="D51" s="42">
        <f>'Model'!F43</f>
        <v>991.1564828195289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