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<sst xmlns="http://schemas.openxmlformats.org/spreadsheetml/2006/main" uniqueCount="54">
  <si>
    <t>Financial model</t>
  </si>
  <si>
    <t>$m</t>
  </si>
  <si>
    <t>4Q 2021</t>
  </si>
  <si>
    <t xml:space="preserve">Cashflow </t>
  </si>
  <si>
    <t xml:space="preserve">Growth </t>
  </si>
  <si>
    <t xml:space="preserve">Sales 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</si>
  <si>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</si>
  <si>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</si>
  <si>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</si>
  <si>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</si>
  <si>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</si>
  <si>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</si>
  <si>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</si>
  <si>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</si>
  <si>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</si>
  <si>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</si>
  <si>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</si>
  <si>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</si>
  <si>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</si>
  <si>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</t>
  </si>
  <si>
    <t xml:space="preserve">Balance sheet </t>
  </si>
  <si>
    <t xml:space="preserve">Other assets 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</si>
  <si>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</si>
  <si>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</si>
  <si>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</si>
  <si>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</si>
  <si>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</si>
  <si>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</si>
  <si>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</si>
  <si>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</si>
  <si>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</si>
  <si>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</si>
  <si>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</si>
  <si>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</si>
  <si>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</si>
  <si>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</si>
  <si>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</si>
  <si>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</si>
  <si>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</si>
  <si>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</si>
  <si>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>Sales</t>
  </si>
  <si>
    <t>Costs</t>
  </si>
  <si>
    <t>Cashflow</t>
  </si>
  <si>
    <t xml:space="preserve">Non cash costs </t>
  </si>
  <si>
    <t xml:space="preserve">Working capital </t>
  </si>
  <si>
    <t>Capex</t>
  </si>
  <si>
    <t>Investment</t>
  </si>
  <si>
    <t>Free cashflow</t>
  </si>
  <si>
    <t>Balance sheet</t>
  </si>
  <si>
    <t xml:space="preserve">Cash </t>
  </si>
  <si>
    <t xml:space="preserve">Assets </t>
  </si>
  <si>
    <t xml:space="preserve">Net cash </t>
  </si>
  <si>
    <t>Share price</t>
  </si>
  <si>
    <t>SNOW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</si>
</sst>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456244</xdr:colOff>
      <xdr:row>0</xdr:row>
      <xdr:rowOff>330082</xdr:rowOff>
    </xdr:from>
    <xdr:to>
      <xdr:col>12</xdr:col>
      <xdr:colOff>114092</xdr:colOff>
      <xdr:row>44</xdr:row>
      <xdr:rowOff>250253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075744" y="330082"/>
          <a:ext cx="8370049" cy="112257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8.187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AVERAGE('Sales'!E11:E14)</f>
        <v>0.202509576336336</v>
      </c>
      <c r="C3" s="7"/>
      <c r="D3" s="7"/>
      <c r="E3" s="8">
        <f>AVERAGE(B4:E4)</f>
        <v>0.19</v>
      </c>
    </row>
    <row r="4" ht="20.05" customHeight="1">
      <c r="A4" t="s" s="9">
        <v>4</v>
      </c>
      <c r="B4" s="10">
        <v>0.19</v>
      </c>
      <c r="C4" s="11">
        <f>B4</f>
        <v>0.19</v>
      </c>
      <c r="D4" s="11">
        <f>C4</f>
        <v>0.19</v>
      </c>
      <c r="E4" s="11">
        <f>D4</f>
        <v>0.19</v>
      </c>
    </row>
    <row r="5" ht="20.05" customHeight="1">
      <c r="A5" t="s" s="9">
        <v>5</v>
      </c>
      <c r="B5" s="12">
        <f>'Sales'!C14*(1+B4)</f>
        <v>397.98479</v>
      </c>
      <c r="C5" s="13">
        <f>B5*(1+C4)</f>
        <v>473.6019001</v>
      </c>
      <c r="D5" s="13">
        <f>C5*(1+D4)</f>
        <v>563.586261119</v>
      </c>
      <c r="E5" s="13">
        <f>D5*(1+E4)</f>
        <v>670.667650731610</v>
      </c>
    </row>
    <row r="6" ht="20.05" customHeight="1">
      <c r="A6" t="s" s="9">
        <v>6</v>
      </c>
      <c r="B6" s="10">
        <f>'Sales'!F14</f>
        <v>-0.92687499439363</v>
      </c>
      <c r="C6" s="11">
        <f>B6</f>
        <v>-0.92687499439363</v>
      </c>
      <c r="D6" s="11">
        <f>C6</f>
        <v>-0.92687499439363</v>
      </c>
      <c r="E6" s="11">
        <f>E7/E5</f>
        <v>-0.778886549910613</v>
      </c>
    </row>
    <row r="7" ht="20.05" customHeight="1">
      <c r="A7" t="s" s="9">
        <v>7</v>
      </c>
      <c r="B7" s="14">
        <f>B5*B6</f>
        <v>-368.88215</v>
      </c>
      <c r="C7" s="15">
        <f>C5*C6</f>
        <v>-438.9697585</v>
      </c>
      <c r="D7" s="15">
        <f>D5*D6</f>
        <v>-522.374012615</v>
      </c>
      <c r="E7" s="15">
        <f>D7</f>
        <v>-522.374012615</v>
      </c>
    </row>
    <row r="8" ht="20.05" customHeight="1">
      <c r="A8" t="s" s="9">
        <v>8</v>
      </c>
      <c r="B8" s="14">
        <f>B5+B7</f>
        <v>29.10264</v>
      </c>
      <c r="C8" s="15">
        <f>C5+C7</f>
        <v>34.6321416</v>
      </c>
      <c r="D8" s="15">
        <f>D5+D7</f>
        <v>41.212248504</v>
      </c>
      <c r="E8" s="15">
        <f>E5+E7</f>
        <v>148.293638116610</v>
      </c>
    </row>
    <row r="9" ht="20.05" customHeight="1">
      <c r="A9" t="s" s="9">
        <v>9</v>
      </c>
      <c r="B9" s="14">
        <f>'Cashflow '!E13</f>
        <v>-2.282</v>
      </c>
      <c r="C9" s="15">
        <f>B9</f>
        <v>-2.282</v>
      </c>
      <c r="D9" s="15">
        <f>C9</f>
        <v>-2.282</v>
      </c>
      <c r="E9" s="15">
        <f>D9</f>
        <v>-2.282</v>
      </c>
    </row>
    <row r="10" ht="20.05" customHeight="1">
      <c r="A10" t="s" s="9">
        <v>10</v>
      </c>
      <c r="B10" s="14">
        <f>B11+B12+B14</f>
        <v>-88.85826</v>
      </c>
      <c r="C10" s="15">
        <f>C11+C12+C14</f>
        <v>-85.96628750000001</v>
      </c>
      <c r="D10" s="15">
        <f>D11+D12+D14</f>
        <v>-114.237723625</v>
      </c>
      <c r="E10" s="15">
        <f>E11+E12+E14</f>
        <v>-173.665338443750</v>
      </c>
    </row>
    <row r="11" ht="20.05" customHeight="1">
      <c r="A11" t="s" s="9">
        <v>11</v>
      </c>
      <c r="B11" s="14">
        <f>-'Balance sheet '!F13/20</f>
        <v>-57.83945</v>
      </c>
      <c r="C11" s="15">
        <f>-B25/20</f>
        <v>-54.9474775</v>
      </c>
      <c r="D11" s="15">
        <f>-C25/20</f>
        <v>-52.200103625</v>
      </c>
      <c r="E11" s="15">
        <f>-D25/20</f>
        <v>-49.590098443750</v>
      </c>
    </row>
    <row r="12" ht="20.05" customHeight="1">
      <c r="A12" t="s" s="9">
        <v>12</v>
      </c>
      <c r="B12" s="14">
        <f>IF(B20&gt;0,-B20*0.3,0)</f>
        <v>0</v>
      </c>
      <c r="C12" s="15">
        <f>IF(C20&gt;0,-C20*0.3,0)</f>
        <v>0</v>
      </c>
      <c r="D12" s="15">
        <f>IF(D20&gt;0,-D20*0.3,0)</f>
        <v>0</v>
      </c>
      <c r="E12" s="15">
        <f>IF(E20&gt;0,-E20*0.3,0)</f>
        <v>0</v>
      </c>
    </row>
    <row r="13" ht="20.05" customHeight="1">
      <c r="A13" t="s" s="9">
        <v>13</v>
      </c>
      <c r="B13" s="14">
        <f>B8+B9+B11+B12</f>
        <v>-31.01881</v>
      </c>
      <c r="C13" s="15">
        <f>C8+C9+C11+C12</f>
        <v>-22.5973359</v>
      </c>
      <c r="D13" s="15">
        <f>D8+D9+D11+D12</f>
        <v>-13.269855121</v>
      </c>
      <c r="E13" s="15">
        <f>E8+E9+E11+E12</f>
        <v>96.42153967286001</v>
      </c>
    </row>
    <row r="14" ht="20.05" customHeight="1">
      <c r="A14" t="s" s="9">
        <v>14</v>
      </c>
      <c r="B14" s="14">
        <f>MIN(0,B13)</f>
        <v>-31.01881</v>
      </c>
      <c r="C14" s="15">
        <f>MIN(B26,C13)</f>
        <v>-31.01881</v>
      </c>
      <c r="D14" s="15">
        <f>MIN(C26,D13)</f>
        <v>-62.03762</v>
      </c>
      <c r="E14" s="15">
        <f>MIN(D26,E13)</f>
        <v>-124.07524</v>
      </c>
    </row>
    <row r="15" ht="20.05" customHeight="1">
      <c r="A15" t="s" s="9">
        <v>15</v>
      </c>
      <c r="B15" s="14">
        <f>'Balance sheet '!B13</f>
        <v>935.217</v>
      </c>
      <c r="C15" s="15">
        <f>B17</f>
        <v>873.17938</v>
      </c>
      <c r="D15" s="15">
        <f>C17</f>
        <v>819.5632341</v>
      </c>
      <c r="E15" s="15">
        <f>D17</f>
        <v>744.255758979</v>
      </c>
    </row>
    <row r="16" ht="20.05" customHeight="1">
      <c r="A16" t="s" s="9">
        <v>16</v>
      </c>
      <c r="B16" s="14">
        <f>B8+B9+B10</f>
        <v>-62.03762</v>
      </c>
      <c r="C16" s="15">
        <f>C8+C9+C10</f>
        <v>-53.6161459</v>
      </c>
      <c r="D16" s="15">
        <f>D8+D9+D10</f>
        <v>-75.307475121</v>
      </c>
      <c r="E16" s="15">
        <f>E8+E9+E10</f>
        <v>-27.653700327140</v>
      </c>
    </row>
    <row r="17" ht="20.05" customHeight="1">
      <c r="A17" t="s" s="9">
        <v>17</v>
      </c>
      <c r="B17" s="14">
        <f>B16+B15</f>
        <v>873.17938</v>
      </c>
      <c r="C17" s="15">
        <f>C16+C15</f>
        <v>819.5632341</v>
      </c>
      <c r="D17" s="15">
        <f>D16+D15</f>
        <v>744.255758979</v>
      </c>
      <c r="E17" s="15">
        <f>E16+E15</f>
        <v>716.602058651860</v>
      </c>
    </row>
    <row r="18" ht="20.05" customHeight="1">
      <c r="A18" t="s" s="16">
        <v>18</v>
      </c>
      <c r="B18" s="14"/>
      <c r="C18" s="15"/>
      <c r="D18" s="15"/>
      <c r="E18" s="15"/>
    </row>
    <row r="19" ht="20.05" customHeight="1">
      <c r="A19" t="s" s="9">
        <v>19</v>
      </c>
      <c r="B19" s="14">
        <f>-'Cashflow '!C13</f>
        <v>-179.312</v>
      </c>
      <c r="C19" s="15">
        <f>B19</f>
        <v>-179.312</v>
      </c>
      <c r="D19" s="15">
        <f>C19</f>
        <v>-179.312</v>
      </c>
      <c r="E19" s="15">
        <f>D19</f>
        <v>-179.312</v>
      </c>
    </row>
    <row r="20" ht="20.05" customHeight="1">
      <c r="A20" t="s" s="9">
        <v>18</v>
      </c>
      <c r="B20" s="14">
        <f>B5+B7+B19</f>
        <v>-150.20936</v>
      </c>
      <c r="C20" s="15">
        <f>C5+C7+C19</f>
        <v>-144.6798584</v>
      </c>
      <c r="D20" s="15">
        <f>D5+D7+D19</f>
        <v>-138.099751496</v>
      </c>
      <c r="E20" s="15">
        <f>E5+E7+E19</f>
        <v>-31.018361883390</v>
      </c>
    </row>
    <row r="21" ht="20.05" customHeight="1">
      <c r="A21" t="s" s="16">
        <v>20</v>
      </c>
      <c r="B21" s="14"/>
      <c r="C21" s="15"/>
      <c r="D21" s="15"/>
      <c r="E21" s="15"/>
    </row>
    <row r="22" ht="20.05" customHeight="1">
      <c r="A22" t="s" s="9">
        <v>21</v>
      </c>
      <c r="B22" s="14">
        <f>'Balance sheet '!D13+'Balance sheet '!E13-B9</f>
        <v>6077.536</v>
      </c>
      <c r="C22" s="15">
        <f>B22-C9</f>
        <v>6079.818</v>
      </c>
      <c r="D22" s="15">
        <f>C22-D9</f>
        <v>6082.1</v>
      </c>
      <c r="E22" s="15">
        <f>D22-E9</f>
        <v>6084.382</v>
      </c>
    </row>
    <row r="23" ht="20.05" customHeight="1">
      <c r="A23" t="s" s="9">
        <v>22</v>
      </c>
      <c r="B23" s="14">
        <f>'Balance sheet '!E13-B19</f>
        <v>1026.312</v>
      </c>
      <c r="C23" s="15">
        <f>B23-C19</f>
        <v>1205.624</v>
      </c>
      <c r="D23" s="15">
        <f>C23-D19</f>
        <v>1384.936</v>
      </c>
      <c r="E23" s="15">
        <f>D23-E19</f>
        <v>1564.248</v>
      </c>
    </row>
    <row r="24" ht="20.05" customHeight="1">
      <c r="A24" t="s" s="9">
        <v>23</v>
      </c>
      <c r="B24" s="14">
        <f>B22-B23</f>
        <v>5051.224</v>
      </c>
      <c r="C24" s="15">
        <f>C22-C23</f>
        <v>4874.194</v>
      </c>
      <c r="D24" s="15">
        <f>D22-D23</f>
        <v>4697.164</v>
      </c>
      <c r="E24" s="15">
        <f>E22-E23</f>
        <v>4520.134</v>
      </c>
    </row>
    <row r="25" ht="20.05" customHeight="1">
      <c r="A25" t="s" s="9">
        <v>11</v>
      </c>
      <c r="B25" s="14">
        <f>'Balance sheet '!F13+B11</f>
        <v>1098.94955</v>
      </c>
      <c r="C25" s="15">
        <f>B25+C11</f>
        <v>1044.0020725</v>
      </c>
      <c r="D25" s="15">
        <f>C25+D11</f>
        <v>991.8019688749999</v>
      </c>
      <c r="E25" s="15">
        <f>D25+E11</f>
        <v>942.211870431250</v>
      </c>
    </row>
    <row r="26" ht="20.05" customHeight="1">
      <c r="A26" t="s" s="9">
        <v>14</v>
      </c>
      <c r="B26" s="14">
        <f>B14</f>
        <v>-31.01881</v>
      </c>
      <c r="C26" s="15">
        <f>B26+C14</f>
        <v>-62.03762</v>
      </c>
      <c r="D26" s="15">
        <f>C26+D14</f>
        <v>-124.07524</v>
      </c>
      <c r="E26" s="15">
        <f>D26+E14</f>
        <v>-248.15048</v>
      </c>
    </row>
    <row r="27" ht="20.05" customHeight="1">
      <c r="A27" t="s" s="9">
        <v>12</v>
      </c>
      <c r="B27" s="14">
        <f>'Balance sheet '!G13+B20+B12</f>
        <v>4856.47264</v>
      </c>
      <c r="C27" s="15">
        <f>B27+C20+C12</f>
        <v>4711.7927816</v>
      </c>
      <c r="D27" s="15">
        <f>C27+D20+D12</f>
        <v>4573.693030104</v>
      </c>
      <c r="E27" s="15">
        <f>D27+E20+E12</f>
        <v>4542.674668220610</v>
      </c>
    </row>
    <row r="28" ht="20.05" customHeight="1">
      <c r="A28" t="s" s="9">
        <v>24</v>
      </c>
      <c r="B28" s="14">
        <f>B25+B26+B27-B17-B24</f>
        <v>0</v>
      </c>
      <c r="C28" s="15">
        <f>C25+C26+C27-C17-C24</f>
        <v>0</v>
      </c>
      <c r="D28" s="15">
        <f>D25+D26+D27-D17-D24</f>
        <v>0</v>
      </c>
      <c r="E28" s="15">
        <f>E25+E26+E27-E17-E24</f>
        <v>0</v>
      </c>
    </row>
    <row r="29" ht="20.05" customHeight="1">
      <c r="A29" t="s" s="9">
        <v>25</v>
      </c>
      <c r="B29" s="14">
        <f>B17-B25-B26</f>
        <v>-194.75136</v>
      </c>
      <c r="C29" s="15">
        <f>C17-C25-C26</f>
        <v>-162.4012184</v>
      </c>
      <c r="D29" s="15">
        <f>D17-D25-D26</f>
        <v>-123.470969896</v>
      </c>
      <c r="E29" s="15">
        <f>E17-E25-E26</f>
        <v>22.540668220610</v>
      </c>
    </row>
    <row r="30" ht="20.05" customHeight="1">
      <c r="A30" t="s" s="16">
        <v>26</v>
      </c>
      <c r="B30" s="14"/>
      <c r="C30" s="15"/>
      <c r="D30" s="15"/>
      <c r="E30" s="15"/>
    </row>
    <row r="31" ht="20.05" customHeight="1">
      <c r="A31" t="s" s="9">
        <v>27</v>
      </c>
      <c r="B31" s="14">
        <f>'Cashflow '!M13-B10</f>
        <v>-4871.54974</v>
      </c>
      <c r="C31" s="15">
        <f>B31-C10</f>
        <v>-4785.5834525</v>
      </c>
      <c r="D31" s="15">
        <f>C31-D10</f>
        <v>-4671.345728875</v>
      </c>
      <c r="E31" s="15">
        <f>D31-E10</f>
        <v>-4497.680390431250</v>
      </c>
    </row>
    <row r="32" ht="20.05" customHeight="1">
      <c r="A32" t="s" s="9">
        <v>28</v>
      </c>
      <c r="B32" s="14"/>
      <c r="C32" s="15"/>
      <c r="D32" s="15"/>
      <c r="E32" s="15">
        <v>113700</v>
      </c>
    </row>
    <row r="33" ht="20.05" customHeight="1">
      <c r="A33" t="s" s="9">
        <v>29</v>
      </c>
      <c r="B33" s="14"/>
      <c r="C33" s="15"/>
      <c r="D33" s="15"/>
      <c r="E33" s="15">
        <f>E32/(E17+E24)</f>
        <v>21.7119974592095</v>
      </c>
    </row>
    <row r="34" ht="20.05" customHeight="1">
      <c r="A34" t="s" s="9">
        <v>30</v>
      </c>
      <c r="B34" s="14"/>
      <c r="C34" s="15"/>
      <c r="D34" s="15"/>
      <c r="E34" s="17">
        <f>-(B12+C12+D12+E12)/E32</f>
        <v>0</v>
      </c>
    </row>
    <row r="35" ht="20.05" customHeight="1">
      <c r="A35" t="s" s="9">
        <v>3</v>
      </c>
      <c r="B35" s="14"/>
      <c r="C35" s="15"/>
      <c r="D35" s="15"/>
      <c r="E35" s="15">
        <f>SUM(E8:E9)*2</f>
        <v>292.023276233220</v>
      </c>
    </row>
    <row r="36" ht="20.05" customHeight="1">
      <c r="A36" t="s" s="9">
        <v>31</v>
      </c>
      <c r="B36" s="14"/>
      <c r="C36" s="15"/>
      <c r="D36" s="15"/>
      <c r="E36" s="15">
        <f>'Balance sheet '!D13/E35</f>
        <v>17.9035523039079</v>
      </c>
    </row>
    <row r="37" ht="20.05" customHeight="1">
      <c r="A37" t="s" s="9">
        <v>26</v>
      </c>
      <c r="B37" s="14"/>
      <c r="C37" s="15"/>
      <c r="D37" s="15"/>
      <c r="E37" s="15">
        <f>E32/E35</f>
        <v>389.352525136370</v>
      </c>
    </row>
    <row r="38" ht="20.05" customHeight="1">
      <c r="A38" t="s" s="9">
        <v>32</v>
      </c>
      <c r="B38" s="14"/>
      <c r="C38" s="15"/>
      <c r="D38" s="15"/>
      <c r="E38" s="15">
        <v>250</v>
      </c>
    </row>
    <row r="39" ht="20.05" customHeight="1">
      <c r="A39" t="s" s="9">
        <v>33</v>
      </c>
      <c r="B39" s="14"/>
      <c r="C39" s="15"/>
      <c r="D39" s="15"/>
      <c r="E39" s="15">
        <f>E35*E38</f>
        <v>73005.819058305</v>
      </c>
    </row>
    <row r="40" ht="20.05" customHeight="1">
      <c r="A40" t="s" s="9">
        <v>34</v>
      </c>
      <c r="B40" s="14"/>
      <c r="C40" s="15"/>
      <c r="D40" s="15"/>
      <c r="E40" s="15">
        <f>E32/E42</f>
        <v>306.270875983191</v>
      </c>
    </row>
    <row r="41" ht="20.05" customHeight="1">
      <c r="A41" t="s" s="9">
        <v>35</v>
      </c>
      <c r="B41" s="14"/>
      <c r="C41" s="15"/>
      <c r="D41" s="15"/>
      <c r="E41" s="15">
        <f>E39/E40</f>
        <v>238.370099095912</v>
      </c>
    </row>
    <row r="42" ht="20.05" customHeight="1">
      <c r="A42" t="s" s="9">
        <v>36</v>
      </c>
      <c r="B42" s="14"/>
      <c r="C42" s="15"/>
      <c r="D42" s="15"/>
      <c r="E42" s="15">
        <f>'Share price '!B10</f>
        <v>371.24</v>
      </c>
    </row>
    <row r="43" ht="20.05" customHeight="1">
      <c r="A43" t="s" s="9">
        <v>37</v>
      </c>
      <c r="B43" s="14"/>
      <c r="C43" s="15"/>
      <c r="D43" s="15"/>
      <c r="E43" s="17">
        <f>E41/E42-1</f>
        <v>-0.357908363603297</v>
      </c>
    </row>
    <row r="44" ht="20.05" customHeight="1">
      <c r="A44" t="s" s="9">
        <v>38</v>
      </c>
      <c r="B44" s="14"/>
      <c r="C44" s="15"/>
      <c r="D44" s="15"/>
      <c r="E44" s="17">
        <f>'Sales'!C14/'Sales'!C10-1</f>
        <v>1.09025625</v>
      </c>
    </row>
    <row r="45" ht="20.05" customHeight="1">
      <c r="A45" t="s" s="9">
        <v>39</v>
      </c>
      <c r="B45" s="14"/>
      <c r="C45" s="15"/>
      <c r="D45" s="15"/>
      <c r="E45" s="17">
        <f>('Sales'!D13+'Sales'!D14)/('Sales'!C13+'Sales'!C14)-1</f>
        <v>-0.0139189137937573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4531" style="18" customWidth="1"/>
    <col min="2" max="7" width="10.4219" style="18" customWidth="1"/>
    <col min="8" max="16384" width="16.3516" style="18" customWidth="1"/>
  </cols>
  <sheetData>
    <row r="1" ht="64.15" customHeight="1"/>
    <row r="2" ht="27.65" customHeight="1">
      <c r="B2" t="s" s="2">
        <v>40</v>
      </c>
      <c r="C2" s="2"/>
      <c r="D2" s="2"/>
      <c r="E2" s="2"/>
      <c r="F2" s="2"/>
      <c r="G2" s="2"/>
    </row>
    <row r="3" ht="20.25" customHeight="1">
      <c r="B3" t="s" s="19">
        <v>1</v>
      </c>
      <c r="C3" t="s" s="19">
        <v>5</v>
      </c>
      <c r="D3" t="s" s="19">
        <v>32</v>
      </c>
      <c r="E3" t="s" s="19">
        <v>4</v>
      </c>
      <c r="F3" t="s" s="19">
        <v>6</v>
      </c>
      <c r="G3" t="s" s="19">
        <v>41</v>
      </c>
    </row>
    <row r="4" ht="20.25" customHeight="1">
      <c r="B4" s="20">
        <v>2019</v>
      </c>
      <c r="C4" s="21"/>
      <c r="D4" s="7"/>
      <c r="E4" s="8"/>
      <c r="F4" s="8"/>
      <c r="G4" s="8"/>
    </row>
    <row r="5" ht="20.05" customHeight="1">
      <c r="B5" s="22"/>
      <c r="C5" s="23"/>
      <c r="D5" s="24"/>
      <c r="E5" s="11"/>
      <c r="F5" s="11"/>
      <c r="G5" s="11"/>
    </row>
    <row r="6" ht="20.05" customHeight="1">
      <c r="B6" s="22"/>
      <c r="C6" s="25">
        <v>73</v>
      </c>
      <c r="D6" s="24"/>
      <c r="E6" s="11"/>
      <c r="F6" s="17">
        <f>('Cashflow '!B5+'Cashflow '!C5-C6)/C6</f>
        <v>-1.71232876712329</v>
      </c>
      <c r="G6" s="17"/>
    </row>
    <row r="7" ht="20.05" customHeight="1">
      <c r="B7" s="22"/>
      <c r="C7" s="25">
        <v>88</v>
      </c>
      <c r="D7" s="11"/>
      <c r="E7" s="11">
        <f>C7/C6-1</f>
        <v>0.205479452054795</v>
      </c>
      <c r="F7" s="17">
        <f>('Cashflow '!B6+'Cashflow '!C6-C7)/C7</f>
        <v>-1.53409090909091</v>
      </c>
      <c r="G7" s="17"/>
    </row>
    <row r="8" ht="20.05" customHeight="1">
      <c r="B8" s="26">
        <v>2020</v>
      </c>
      <c r="C8" s="25">
        <v>109</v>
      </c>
      <c r="D8" s="11"/>
      <c r="E8" s="11">
        <f>C8/C7-1</f>
        <v>0.238636363636364</v>
      </c>
      <c r="F8" s="17">
        <f>('Cashflow '!B7+'Cashflow '!C7-C8)/C8</f>
        <v>-1.52293577981651</v>
      </c>
      <c r="G8" s="17"/>
    </row>
    <row r="9" ht="20.05" customHeight="1">
      <c r="B9" s="22"/>
      <c r="C9" s="25">
        <v>132</v>
      </c>
      <c r="D9" s="11"/>
      <c r="E9" s="11">
        <f>C9/C8-1</f>
        <v>0.211009174311927</v>
      </c>
      <c r="F9" s="17">
        <f>('Cashflow '!B8+'Cashflow '!C8-C9)/C9</f>
        <v>-1.27272727272727</v>
      </c>
      <c r="G9" s="17">
        <f>AVERAGE(F6:F9)</f>
        <v>-1.5105206821895</v>
      </c>
    </row>
    <row r="10" ht="20.05" customHeight="1">
      <c r="B10" s="22"/>
      <c r="C10" s="25">
        <v>160</v>
      </c>
      <c r="D10" s="11"/>
      <c r="E10" s="11">
        <f>C10/C9-1</f>
        <v>0.212121212121212</v>
      </c>
      <c r="F10" s="17">
        <f>('Cashflow '!B9+'Cashflow '!C9-C10)/C10</f>
        <v>-1.1875</v>
      </c>
      <c r="G10" s="17">
        <f>AVERAGE(F7:F10)</f>
        <v>-1.37931349040867</v>
      </c>
    </row>
    <row r="11" ht="20.05" customHeight="1">
      <c r="B11" s="22"/>
      <c r="C11" s="25">
        <v>191</v>
      </c>
      <c r="D11" s="11"/>
      <c r="E11" s="11">
        <f>C11/C10-1</f>
        <v>0.19375</v>
      </c>
      <c r="F11" s="17">
        <f>('Cashflow '!B10+'Cashflow '!C10-C11)/C11</f>
        <v>-1.1413612565445</v>
      </c>
      <c r="G11" s="17">
        <f>AVERAGE(F8:F11)</f>
        <v>-1.28113107727207</v>
      </c>
    </row>
    <row r="12" ht="20.05" customHeight="1">
      <c r="B12" s="26">
        <v>2021</v>
      </c>
      <c r="C12" s="25">
        <v>229</v>
      </c>
      <c r="D12" s="11"/>
      <c r="E12" s="11">
        <f>C12/C11-1</f>
        <v>0.198952879581152</v>
      </c>
      <c r="F12" s="17">
        <f>('Cashflow '!B11+'Cashflow '!C11-C12)/C12</f>
        <v>-1.06986899563319</v>
      </c>
      <c r="G12" s="17">
        <f>AVERAGE(F9:F12)</f>
        <v>-1.16786438122624</v>
      </c>
    </row>
    <row r="13" ht="20.05" customHeight="1">
      <c r="B13" s="22"/>
      <c r="C13" s="25">
        <v>272</v>
      </c>
      <c r="D13" s="27">
        <v>275</v>
      </c>
      <c r="E13" s="11">
        <f>C13/C12-1</f>
        <v>0.187772925764192</v>
      </c>
      <c r="F13" s="17">
        <f>('Cashflow '!B12+'Cashflow '!C12-C13)/C13</f>
        <v>-0.966911764705882</v>
      </c>
      <c r="G13" s="17">
        <f>AVERAGE(F10:F13)</f>
        <v>-1.09141050422089</v>
      </c>
    </row>
    <row r="14" ht="20.05" customHeight="1">
      <c r="B14" s="22"/>
      <c r="C14" s="12">
        <v>334.441</v>
      </c>
      <c r="D14" s="27">
        <v>323</v>
      </c>
      <c r="E14" s="11">
        <f>C14/C13-1</f>
        <v>0.2295625</v>
      </c>
      <c r="F14" s="17">
        <f>('Cashflow '!B13+'Cashflow '!C13-C14)/C14</f>
        <v>-0.92687499439363</v>
      </c>
      <c r="G14" s="17">
        <f>AVERAGE(F11:F14)</f>
        <v>-1.0262542528193</v>
      </c>
    </row>
    <row r="15" ht="20.05" customHeight="1">
      <c r="B15" s="22"/>
      <c r="C15" s="23"/>
      <c r="D15" s="27">
        <f>'Model'!C5</f>
        <v>473.6019001</v>
      </c>
      <c r="E15" s="11"/>
      <c r="F15" s="11"/>
      <c r="G15" s="11">
        <f>AVERAGE('Model'!B6:E6)</f>
        <v>-0.889877883272876</v>
      </c>
    </row>
    <row r="16" ht="20.05" customHeight="1">
      <c r="B16" s="26">
        <v>2022</v>
      </c>
      <c r="C16" s="23"/>
      <c r="D16" s="27">
        <f>'Model'!D5</f>
        <v>563.586261119</v>
      </c>
      <c r="E16" s="11"/>
      <c r="F16" s="11"/>
      <c r="G16" s="11"/>
    </row>
    <row r="17" ht="20.05" customHeight="1">
      <c r="B17" s="22"/>
      <c r="C17" s="23"/>
      <c r="D17" s="27">
        <f>'Model'!E5</f>
        <v>670.667650731610</v>
      </c>
      <c r="E17" s="11"/>
      <c r="F17" s="11"/>
      <c r="G17" s="11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3" width="8.78906" style="28" customWidth="1"/>
    <col min="14" max="16384" width="16.3516" style="28" customWidth="1"/>
  </cols>
  <sheetData>
    <row r="1" ht="27.65" customHeight="1">
      <c r="A1" t="s" s="2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4.25" customHeight="1">
      <c r="A2" t="s" s="19">
        <v>1</v>
      </c>
      <c r="B2" t="s" s="19">
        <v>18</v>
      </c>
      <c r="C2" t="s" s="19">
        <v>43</v>
      </c>
      <c r="D2" t="s" s="19">
        <v>44</v>
      </c>
      <c r="E2" t="s" s="19">
        <v>45</v>
      </c>
      <c r="F2" t="s" s="19">
        <v>8</v>
      </c>
      <c r="G2" t="s" s="19">
        <v>46</v>
      </c>
      <c r="H2" t="s" s="19">
        <v>11</v>
      </c>
      <c r="I2" t="s" s="19">
        <v>12</v>
      </c>
      <c r="J2" t="s" s="19">
        <v>10</v>
      </c>
      <c r="K2" t="s" s="19">
        <v>47</v>
      </c>
      <c r="L2" t="s" s="19">
        <v>42</v>
      </c>
      <c r="M2" t="s" s="19">
        <v>27</v>
      </c>
    </row>
    <row r="3" ht="20.25" customHeight="1">
      <c r="A3" s="20">
        <v>2019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20.05" customHeight="1">
      <c r="A4" s="22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ht="20.05" customHeight="1">
      <c r="A5" s="22"/>
      <c r="B5" s="14">
        <v>-88</v>
      </c>
      <c r="C5" s="15">
        <f>14+22</f>
        <v>36</v>
      </c>
      <c r="D5" s="15">
        <f>F5-C5-B5</f>
        <v>28</v>
      </c>
      <c r="E5" s="15">
        <v>-3</v>
      </c>
      <c r="F5" s="15">
        <v>-24</v>
      </c>
      <c r="G5" s="15">
        <v>19</v>
      </c>
      <c r="H5" s="15"/>
      <c r="I5" s="15"/>
      <c r="J5" s="15">
        <v>35</v>
      </c>
      <c r="K5" s="15">
        <f>G5+F5</f>
        <v>-5</v>
      </c>
      <c r="L5" s="15">
        <f>AVERAGE(K2:K5)</f>
        <v>-5</v>
      </c>
      <c r="M5" s="15">
        <f>-J5</f>
        <v>-35</v>
      </c>
    </row>
    <row r="6" ht="20.05" customHeight="1">
      <c r="A6" s="22"/>
      <c r="B6" s="14">
        <v>-83</v>
      </c>
      <c r="C6" s="15">
        <f>15+21</f>
        <v>36</v>
      </c>
      <c r="D6" s="15">
        <f>F6-C6-B6</f>
        <v>4</v>
      </c>
      <c r="E6" s="15">
        <v>-4</v>
      </c>
      <c r="F6" s="15">
        <v>-43</v>
      </c>
      <c r="G6" s="15">
        <v>-16</v>
      </c>
      <c r="H6" s="15"/>
      <c r="I6" s="15"/>
      <c r="J6" s="15">
        <v>7</v>
      </c>
      <c r="K6" s="15">
        <f>G6+F6</f>
        <v>-59</v>
      </c>
      <c r="L6" s="15">
        <f>AVERAGE(K3:K6)</f>
        <v>-32</v>
      </c>
      <c r="M6" s="15">
        <f>-J6+M5</f>
        <v>-42</v>
      </c>
    </row>
    <row r="7" ht="20.05" customHeight="1">
      <c r="A7" s="26">
        <v>2020</v>
      </c>
      <c r="B7" s="14">
        <v>-94</v>
      </c>
      <c r="C7" s="15">
        <v>37</v>
      </c>
      <c r="D7" s="15">
        <f>F7-C7-B7</f>
        <v>50</v>
      </c>
      <c r="E7" s="15">
        <v>-2</v>
      </c>
      <c r="F7" s="15">
        <v>-7</v>
      </c>
      <c r="G7" s="15">
        <v>-172</v>
      </c>
      <c r="H7" s="15"/>
      <c r="I7" s="15"/>
      <c r="J7" s="15">
        <v>490</v>
      </c>
      <c r="K7" s="15">
        <f>G7+F7</f>
        <v>-179</v>
      </c>
      <c r="L7" s="15">
        <f>AVERAGE(K4:K7)</f>
        <v>-81</v>
      </c>
      <c r="M7" s="15">
        <f>-J7+M6</f>
        <v>-532</v>
      </c>
    </row>
    <row r="8" ht="20.05" customHeight="1">
      <c r="A8" s="22"/>
      <c r="B8" s="14">
        <v>-77</v>
      </c>
      <c r="C8" s="15">
        <v>41</v>
      </c>
      <c r="D8" s="15">
        <f>F8-C8-B8</f>
        <v>-2</v>
      </c>
      <c r="E8" s="15">
        <v>-5</v>
      </c>
      <c r="F8" s="15">
        <v>-38</v>
      </c>
      <c r="G8" s="15">
        <v>-269</v>
      </c>
      <c r="H8" s="15"/>
      <c r="I8" s="15"/>
      <c r="J8" s="15">
        <v>9</v>
      </c>
      <c r="K8" s="15">
        <f>G8+F8</f>
        <v>-307</v>
      </c>
      <c r="L8" s="15">
        <f>AVERAGE(K5:K8)</f>
        <v>-137.5</v>
      </c>
      <c r="M8" s="15">
        <f>-J8+M7</f>
        <v>-541</v>
      </c>
    </row>
    <row r="9" ht="20.05" customHeight="1">
      <c r="A9" s="22"/>
      <c r="B9" s="14">
        <v>-169</v>
      </c>
      <c r="C9" s="15">
        <f>19+119+1</f>
        <v>139</v>
      </c>
      <c r="D9" s="15">
        <f>F9-C9-B9</f>
        <v>10</v>
      </c>
      <c r="E9" s="15">
        <v>-17</v>
      </c>
      <c r="F9" s="15">
        <v>-20</v>
      </c>
      <c r="G9" s="15">
        <v>-434</v>
      </c>
      <c r="H9" s="15"/>
      <c r="I9" s="15"/>
      <c r="J9" s="15">
        <v>4254</v>
      </c>
      <c r="K9" s="15">
        <f>G9+F9</f>
        <v>-454</v>
      </c>
      <c r="L9" s="15">
        <f>AVERAGE(K6:K9)</f>
        <v>-249.75</v>
      </c>
      <c r="M9" s="15">
        <f>-J9+M8</f>
        <v>-4795</v>
      </c>
    </row>
    <row r="10" ht="20.05" customHeight="1">
      <c r="A10" s="22"/>
      <c r="B10" s="14">
        <v>-199</v>
      </c>
      <c r="C10" s="15">
        <f>164+8</f>
        <v>172</v>
      </c>
      <c r="D10" s="15">
        <f>F10-C10-B10</f>
        <v>47</v>
      </c>
      <c r="E10" s="15">
        <v>-11</v>
      </c>
      <c r="F10" s="15">
        <v>20</v>
      </c>
      <c r="G10" s="15">
        <v>-3161</v>
      </c>
      <c r="H10" s="15"/>
      <c r="I10" s="15"/>
      <c r="J10" s="15">
        <v>22</v>
      </c>
      <c r="K10" s="15">
        <f>G10+F10</f>
        <v>-3141</v>
      </c>
      <c r="L10" s="15">
        <f>AVERAGE(K7:K10)</f>
        <v>-1020.25</v>
      </c>
      <c r="M10" s="15">
        <f>-J10+M9</f>
        <v>-4817</v>
      </c>
    </row>
    <row r="11" ht="20.05" customHeight="1">
      <c r="A11" s="26">
        <v>2021</v>
      </c>
      <c r="B11" s="14">
        <v>-203</v>
      </c>
      <c r="C11" s="15">
        <f>5+9+8+151+14</f>
        <v>187</v>
      </c>
      <c r="D11" s="15">
        <f>F11-C11-B11</f>
        <v>38</v>
      </c>
      <c r="E11" s="15">
        <v>-6.4</v>
      </c>
      <c r="F11" s="15">
        <v>22</v>
      </c>
      <c r="G11" s="15">
        <v>-264</v>
      </c>
      <c r="H11" s="15"/>
      <c r="I11" s="15"/>
      <c r="J11" s="15">
        <v>68</v>
      </c>
      <c r="K11" s="15">
        <f>G11+F11</f>
        <v>-242</v>
      </c>
      <c r="L11" s="15">
        <f>AVERAGE(K8:K11)</f>
        <v>-1036</v>
      </c>
      <c r="M11" s="15">
        <f>-J11+M10</f>
        <v>-4885</v>
      </c>
    </row>
    <row r="12" ht="20.05" customHeight="1">
      <c r="A12" s="22"/>
      <c r="B12" s="14">
        <v>-190</v>
      </c>
      <c r="C12" s="15">
        <v>199</v>
      </c>
      <c r="D12" s="15">
        <f>F12-C12-B12</f>
        <v>-15.1</v>
      </c>
      <c r="E12" s="15">
        <v>-3.497</v>
      </c>
      <c r="F12" s="15">
        <v>-6.1</v>
      </c>
      <c r="G12" s="15">
        <v>36</v>
      </c>
      <c r="H12" s="15"/>
      <c r="I12" s="15"/>
      <c r="J12" s="15">
        <v>25</v>
      </c>
      <c r="K12" s="15">
        <f>G12+F12</f>
        <v>29.9</v>
      </c>
      <c r="L12" s="15">
        <f>AVERAGE(K9:K12)</f>
        <v>-951.775</v>
      </c>
      <c r="M12" s="15">
        <f>-J12+M11</f>
        <v>-4910</v>
      </c>
    </row>
    <row r="13" ht="20.05" customHeight="1">
      <c r="A13" s="22"/>
      <c r="B13" s="14">
        <v>-154.856</v>
      </c>
      <c r="C13" s="15">
        <f>5.518+8.855+9.667+144.387+11.587-0.455-0.247</f>
        <v>179.312</v>
      </c>
      <c r="D13" s="15">
        <f>F13-C13-B13</f>
        <v>-8.917999999999999</v>
      </c>
      <c r="E13" s="15">
        <v>-2.282</v>
      </c>
      <c r="F13" s="15">
        <v>15.538</v>
      </c>
      <c r="G13" s="15">
        <v>171.064</v>
      </c>
      <c r="H13" s="15"/>
      <c r="I13" s="15">
        <v>50.408</v>
      </c>
      <c r="J13" s="15">
        <v>50.408</v>
      </c>
      <c r="K13" s="15">
        <f>G13+F13</f>
        <v>186.602</v>
      </c>
      <c r="L13" s="15">
        <f>AVERAGE(K10:K13)</f>
        <v>-791.6245</v>
      </c>
      <c r="M13" s="15">
        <f>-J13+M12</f>
        <v>-4960.408</v>
      </c>
    </row>
    <row r="14" ht="20.05" customHeight="1">
      <c r="A14" s="22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>
        <f>SUM('Model'!E8:E9)</f>
        <v>146.011638116610</v>
      </c>
      <c r="M14" s="15">
        <f>'Model'!E31</f>
        <v>-4497.680390431250</v>
      </c>
    </row>
  </sheetData>
  <mergeCells count="1">
    <mergeCell ref="A1:M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9.91406" style="31" customWidth="1"/>
    <col min="11" max="16384" width="16.3516" style="31" customWidth="1"/>
  </cols>
  <sheetData>
    <row r="1" ht="27.65" customHeight="1">
      <c r="A1" t="s" s="2">
        <v>48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19">
        <v>1</v>
      </c>
      <c r="B2" t="s" s="19">
        <v>49</v>
      </c>
      <c r="C2" t="s" s="19">
        <v>50</v>
      </c>
      <c r="D2" t="s" s="19">
        <v>21</v>
      </c>
      <c r="E2" t="s" s="19">
        <v>22</v>
      </c>
      <c r="F2" t="s" s="19">
        <v>11</v>
      </c>
      <c r="G2" t="s" s="19">
        <v>12</v>
      </c>
      <c r="H2" t="s" s="19">
        <v>24</v>
      </c>
      <c r="I2" t="s" s="19">
        <v>51</v>
      </c>
      <c r="J2" t="s" s="19">
        <v>32</v>
      </c>
    </row>
    <row r="3" ht="20.25" customHeight="1">
      <c r="A3" s="20">
        <v>2019</v>
      </c>
      <c r="B3" s="29"/>
      <c r="C3" s="30"/>
      <c r="D3" s="30"/>
      <c r="E3" s="30"/>
      <c r="F3" s="30"/>
      <c r="G3" s="30"/>
      <c r="H3" s="30"/>
      <c r="I3" s="30"/>
      <c r="J3" s="30"/>
    </row>
    <row r="4" ht="20.05" customHeight="1">
      <c r="A4" s="22"/>
      <c r="B4" s="14"/>
      <c r="C4" s="15"/>
      <c r="D4" s="15"/>
      <c r="E4" s="15"/>
      <c r="F4" s="15"/>
      <c r="G4" s="15"/>
      <c r="H4" s="15"/>
      <c r="I4" s="15"/>
      <c r="J4" s="15"/>
    </row>
    <row r="5" ht="20.05" customHeight="1">
      <c r="A5" s="22"/>
      <c r="B5" s="14"/>
      <c r="C5" s="15"/>
      <c r="D5" s="15"/>
      <c r="E5" s="15"/>
      <c r="F5" s="15"/>
      <c r="G5" s="15"/>
      <c r="H5" s="15"/>
      <c r="I5" s="15"/>
      <c r="J5" s="15"/>
    </row>
    <row r="6" ht="20.05" customHeight="1">
      <c r="A6" s="22"/>
      <c r="B6" s="14">
        <v>127</v>
      </c>
      <c r="C6" s="15">
        <v>1013</v>
      </c>
      <c r="D6" s="15">
        <f>C6-B6</f>
        <v>886</v>
      </c>
      <c r="E6" s="15">
        <f>'Cashflow '!C5</f>
        <v>36</v>
      </c>
      <c r="F6" s="15">
        <v>1558</v>
      </c>
      <c r="G6" s="15">
        <v>-545</v>
      </c>
      <c r="H6" s="15">
        <f>F6+G6-B6-D6</f>
        <v>0</v>
      </c>
      <c r="I6" s="15">
        <f>B6-F6</f>
        <v>-1431</v>
      </c>
      <c r="J6" s="15"/>
    </row>
    <row r="7" ht="20.05" customHeight="1">
      <c r="A7" s="26">
        <v>2020</v>
      </c>
      <c r="B7" s="14"/>
      <c r="C7" s="15"/>
      <c r="D7" s="15"/>
      <c r="E7" s="15">
        <f>E6+'Cashflow '!C6</f>
        <v>72</v>
      </c>
      <c r="F7" s="15"/>
      <c r="G7" s="15"/>
      <c r="H7" s="15">
        <f>F7+G7-B7-D7</f>
        <v>0</v>
      </c>
      <c r="I7" s="15"/>
      <c r="J7" s="15"/>
    </row>
    <row r="8" ht="20.05" customHeight="1">
      <c r="A8" s="22"/>
      <c r="B8" s="14"/>
      <c r="C8" s="15"/>
      <c r="D8" s="15"/>
      <c r="E8" s="15">
        <f>E7+'Cashflow '!C7</f>
        <v>109</v>
      </c>
      <c r="F8" s="15"/>
      <c r="G8" s="15"/>
      <c r="H8" s="15">
        <f>F8+G8-B8-D8</f>
        <v>0</v>
      </c>
      <c r="I8" s="15"/>
      <c r="J8" s="15"/>
    </row>
    <row r="9" ht="20.05" customHeight="1">
      <c r="A9" s="22"/>
      <c r="B9" s="14">
        <v>3940</v>
      </c>
      <c r="C9" s="15">
        <v>5713</v>
      </c>
      <c r="D9" s="15">
        <f>C9-B9</f>
        <v>1773</v>
      </c>
      <c r="E9" s="15">
        <f>E8+'Cashflow '!C8</f>
        <v>150</v>
      </c>
      <c r="F9" s="15">
        <v>745</v>
      </c>
      <c r="G9" s="15">
        <v>4968</v>
      </c>
      <c r="H9" s="15">
        <f>F9+G9-B9-D9</f>
        <v>0</v>
      </c>
      <c r="I9" s="15">
        <f>B9-F9</f>
        <v>3195</v>
      </c>
      <c r="J9" s="15"/>
    </row>
    <row r="10" ht="20.05" customHeight="1">
      <c r="A10" s="22"/>
      <c r="B10" s="14">
        <v>820</v>
      </c>
      <c r="C10" s="15">
        <v>5922</v>
      </c>
      <c r="D10" s="15">
        <f>C10-B10</f>
        <v>5102</v>
      </c>
      <c r="E10" s="15">
        <f>E9+'Cashflow '!C9</f>
        <v>289</v>
      </c>
      <c r="F10" s="15">
        <v>985</v>
      </c>
      <c r="G10" s="15">
        <v>4936</v>
      </c>
      <c r="H10" s="15">
        <f>F10+G10-B10-D10</f>
        <v>-1</v>
      </c>
      <c r="I10" s="15">
        <f>B10-F10</f>
        <v>-165</v>
      </c>
      <c r="J10" s="15"/>
    </row>
    <row r="11" ht="20.05" customHeight="1">
      <c r="A11" s="26">
        <v>2021</v>
      </c>
      <c r="B11" s="14">
        <v>645</v>
      </c>
      <c r="C11" s="15">
        <v>5929</v>
      </c>
      <c r="D11" s="15">
        <f>C11-B11</f>
        <v>5284</v>
      </c>
      <c r="E11" s="15">
        <f>E10+'Cashflow '!C10</f>
        <v>461</v>
      </c>
      <c r="F11" s="15">
        <v>971</v>
      </c>
      <c r="G11" s="15">
        <v>4958</v>
      </c>
      <c r="H11" s="15">
        <f>F11+G11-B11-D11</f>
        <v>0</v>
      </c>
      <c r="I11" s="15">
        <f>B11-F11</f>
        <v>-326</v>
      </c>
      <c r="J11" s="15"/>
    </row>
    <row r="12" ht="20.05" customHeight="1">
      <c r="A12" s="22"/>
      <c r="B12" s="14">
        <v>699</v>
      </c>
      <c r="C12" s="15">
        <v>6032</v>
      </c>
      <c r="D12" s="15">
        <f>C12-B12</f>
        <v>5333</v>
      </c>
      <c r="E12" s="15">
        <f>E11+'Cashflow '!C11</f>
        <v>648</v>
      </c>
      <c r="F12" s="15">
        <v>1067</v>
      </c>
      <c r="G12" s="15">
        <v>4965</v>
      </c>
      <c r="H12" s="15">
        <f>F12+G12-B12-D12</f>
        <v>0</v>
      </c>
      <c r="I12" s="15">
        <f>B12-F12</f>
        <v>-368</v>
      </c>
      <c r="J12" s="15"/>
    </row>
    <row r="13" ht="20.05" customHeight="1">
      <c r="A13" s="22"/>
      <c r="B13" s="14">
        <v>935.217</v>
      </c>
      <c r="C13" s="15">
        <v>6163.471</v>
      </c>
      <c r="D13" s="15">
        <f>C13-B13</f>
        <v>5228.254</v>
      </c>
      <c r="E13" s="15">
        <f>E12+'Cashflow '!C12</f>
        <v>847</v>
      </c>
      <c r="F13" s="15">
        <f>6163.471-5006.682</f>
        <v>1156.789</v>
      </c>
      <c r="G13" s="15">
        <v>5006.682</v>
      </c>
      <c r="H13" s="15">
        <f>F13+G13-B13-D13</f>
        <v>0</v>
      </c>
      <c r="I13" s="15">
        <f>B13-F13</f>
        <v>-221.572</v>
      </c>
      <c r="J13" s="15">
        <f>I13</f>
        <v>-221.572</v>
      </c>
    </row>
    <row r="14" ht="20.05" customHeight="1">
      <c r="A14" s="22"/>
      <c r="B14" s="14"/>
      <c r="C14" s="15"/>
      <c r="D14" s="15"/>
      <c r="E14" s="15"/>
      <c r="F14" s="15"/>
      <c r="G14" s="15"/>
      <c r="H14" s="15"/>
      <c r="I14" s="15"/>
      <c r="J14" s="15">
        <f>'Model'!E29</f>
        <v>22.540668220610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2.7656" style="32" customWidth="1"/>
    <col min="4" max="16384" width="16.3516" style="32" customWidth="1"/>
  </cols>
  <sheetData>
    <row r="1" ht="27.65" customHeight="1">
      <c r="A1" t="s" s="2">
        <v>52</v>
      </c>
      <c r="B1" s="2"/>
      <c r="C1" s="2"/>
    </row>
    <row r="2" ht="20.25" customHeight="1">
      <c r="A2" s="4"/>
      <c r="B2" t="s" s="3">
        <v>53</v>
      </c>
      <c r="C2" t="s" s="3">
        <v>32</v>
      </c>
    </row>
    <row r="3" ht="20.25" customHeight="1">
      <c r="A3" s="20">
        <v>2020</v>
      </c>
      <c r="B3" s="33"/>
      <c r="C3" s="34"/>
    </row>
    <row r="4" ht="20.05" customHeight="1">
      <c r="A4" s="22"/>
      <c r="B4" s="12"/>
      <c r="C4" s="13"/>
    </row>
    <row r="5" ht="20.05" customHeight="1">
      <c r="A5" s="22"/>
      <c r="B5" s="12">
        <v>243.46</v>
      </c>
      <c r="C5" s="13"/>
    </row>
    <row r="6" ht="20.05" customHeight="1">
      <c r="A6" s="22"/>
      <c r="B6" s="12">
        <v>300.92</v>
      </c>
      <c r="C6" s="13"/>
    </row>
    <row r="7" ht="20.05" customHeight="1">
      <c r="A7" s="26">
        <v>2021</v>
      </c>
      <c r="B7" s="12">
        <v>229.28</v>
      </c>
      <c r="C7" s="13"/>
    </row>
    <row r="8" ht="20.05" customHeight="1">
      <c r="A8" s="22"/>
      <c r="B8" s="12">
        <v>236.75</v>
      </c>
      <c r="C8" s="13"/>
    </row>
    <row r="9" ht="20.05" customHeight="1">
      <c r="A9" s="22"/>
      <c r="B9" s="12">
        <v>322.8</v>
      </c>
      <c r="C9" s="13"/>
    </row>
    <row r="10" ht="20.05" customHeight="1">
      <c r="A10" s="22"/>
      <c r="B10" s="12">
        <v>371.24</v>
      </c>
      <c r="C10" s="13">
        <f>B10</f>
        <v>371.24</v>
      </c>
    </row>
    <row r="11" ht="20.05" customHeight="1">
      <c r="A11" s="22"/>
      <c r="B11" s="12"/>
      <c r="C11" s="13">
        <f>'Model'!E41</f>
        <v>238.370099095912</v>
      </c>
    </row>
    <row r="12" ht="20.05" customHeight="1">
      <c r="A12" s="22"/>
      <c r="B12" s="12"/>
      <c r="C12" s="13"/>
    </row>
    <row r="13" ht="20.05" customHeight="1">
      <c r="A13" s="22"/>
      <c r="B13" s="12"/>
      <c r="C13" s="13"/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