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<sst xmlns="http://schemas.openxmlformats.org/spreadsheetml/2006/main" uniqueCount="56">
  <si>
    <t>Financial model</t>
  </si>
  <si>
    <t>Rpbn</t>
  </si>
  <si>
    <t>4Q 2021</t>
  </si>
  <si>
    <t>Cashflow</t>
  </si>
  <si>
    <t>Growth</t>
  </si>
  <si>
    <t>Sales</t>
  </si>
  <si>
    <t>Cost ratio</t>
  </si>
  <si>
    <t>Cash costs</t>
  </si>
  <si>
    <t xml:space="preserve">Operating 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</si>
  <si>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</si>
  <si>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</si>
  <si>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</si>
  <si>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</si>
  <si>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</si>
  <si>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</si>
  <si>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</si>
  <si>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</si>
  <si>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</si>
  <si>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</si>
  <si>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</si>
  <si>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</si>
  <si>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</si>
  <si>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</si>
  <si>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</si>
  <si>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</si>
  <si>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</si>
  <si>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</si>
  <si>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</si>
  <si>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</si>
  <si>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</si>
  <si>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</si>
  <si>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</si>
  <si>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</si>
  <si>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</si>
  <si>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</si>
  <si>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</si>
  <si>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</si>
  <si>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</si>
  <si>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</si>
  <si>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</si>
  <si>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</si>
  <si>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</si>
  <si>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Profit </t>
  </si>
  <si>
    <t xml:space="preserve">Sales growth </t>
  </si>
  <si>
    <t xml:space="preserve">Cost ratio </t>
  </si>
  <si>
    <t>Cashflow costs</t>
  </si>
  <si>
    <t>Receipts</t>
  </si>
  <si>
    <t xml:space="preserve">Investment </t>
  </si>
  <si>
    <t xml:space="preserve">Free cashflow </t>
  </si>
  <si>
    <t>Cash</t>
  </si>
  <si>
    <t>Assets</t>
  </si>
  <si>
    <t xml:space="preserve">Other assets </t>
  </si>
  <si>
    <t>Check</t>
  </si>
  <si>
    <t>Net cash (debt)</t>
  </si>
  <si>
    <t>Share price</t>
  </si>
  <si>
    <t>SMRA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</si>
</sst>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8" applyNumberFormat="1" applyFont="1" applyFill="1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2" fillId="4" borderId="8" applyNumberFormat="0" applyFont="1" applyFill="1" applyBorder="1" applyAlignment="1" applyProtection="0">
      <alignment vertical="top" wrapText="1"/>
    </xf>
    <xf numFmtId="3" fontId="0" borderId="9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855739</xdr:colOff>
      <xdr:row>2</xdr:row>
      <xdr:rowOff>49663</xdr:rowOff>
    </xdr:from>
    <xdr:to>
      <xdr:col>13</xdr:col>
      <xdr:colOff>231561</xdr:colOff>
      <xdr:row>45</xdr:row>
      <xdr:rowOff>83821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75339" y="903103"/>
          <a:ext cx="8088023" cy="110114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91406" style="1" customWidth="1"/>
    <col min="2" max="2" width="14.7656" style="1" customWidth="1"/>
    <col min="3" max="6" width="8.88281" style="1" customWidth="1"/>
    <col min="7" max="16384" width="16.3516" style="1" customWidth="1"/>
  </cols>
  <sheetData>
    <row r="1" ht="39.5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4">
        <v>2</v>
      </c>
      <c r="D3" s="5"/>
      <c r="E3" s="5"/>
      <c r="F3" s="5"/>
    </row>
    <row r="4" ht="20.3" customHeight="1">
      <c r="B4" t="s" s="6">
        <v>3</v>
      </c>
      <c r="C4" s="7">
        <f>AVERAGE('Sales'!H27:H30)</f>
        <v>0.125479460497941</v>
      </c>
      <c r="D4" s="8"/>
      <c r="E4" s="8"/>
      <c r="F4" s="9">
        <f>AVERAGE(C5:F5)</f>
        <v>0.055</v>
      </c>
    </row>
    <row r="5" ht="20.1" customHeight="1">
      <c r="B5" t="s" s="10">
        <v>4</v>
      </c>
      <c r="C5" s="11">
        <v>0.1</v>
      </c>
      <c r="D5" s="12">
        <v>-0.05</v>
      </c>
      <c r="E5" s="12">
        <v>0.1</v>
      </c>
      <c r="F5" s="12">
        <v>0.07000000000000001</v>
      </c>
    </row>
    <row r="6" ht="20.1" customHeight="1">
      <c r="B6" t="s" s="10">
        <v>5</v>
      </c>
      <c r="C6" s="13">
        <f>'Sales'!C30*(1+C5)</f>
        <v>1464.32</v>
      </c>
      <c r="D6" s="14">
        <f>C6*(1+D5)</f>
        <v>1391.104</v>
      </c>
      <c r="E6" s="14">
        <f>D6*(1+E5)</f>
        <v>1530.2144</v>
      </c>
      <c r="F6" s="14">
        <f>E6*(1+F5)</f>
        <v>1637.329408</v>
      </c>
    </row>
    <row r="7" ht="20.1" customHeight="1">
      <c r="B7" t="s" s="10">
        <v>6</v>
      </c>
      <c r="C7" s="15">
        <f>AVERAGE('Sales'!I30:J30)</f>
        <v>-0.813707034370466</v>
      </c>
      <c r="D7" s="16">
        <f>C7</f>
        <v>-0.813707034370466</v>
      </c>
      <c r="E7" s="16">
        <f>D7</f>
        <v>-0.813707034370466</v>
      </c>
      <c r="F7" s="16">
        <f>E7</f>
        <v>-0.813707034370466</v>
      </c>
    </row>
    <row r="8" ht="20.1" customHeight="1">
      <c r="B8" t="s" s="10">
        <v>7</v>
      </c>
      <c r="C8" s="17">
        <f>C7*C6</f>
        <v>-1191.527484569360</v>
      </c>
      <c r="D8" s="18">
        <f>D7*D6</f>
        <v>-1131.951110340890</v>
      </c>
      <c r="E8" s="18">
        <f>E7*E6</f>
        <v>-1245.146221374980</v>
      </c>
      <c r="F8" s="18">
        <f>F7*F6</f>
        <v>-1332.306456871230</v>
      </c>
    </row>
    <row r="9" ht="20.1" customHeight="1">
      <c r="B9" t="s" s="10">
        <v>8</v>
      </c>
      <c r="C9" s="19">
        <f>C6+C8</f>
        <v>272.792515430640</v>
      </c>
      <c r="D9" s="20">
        <f>D6+D8</f>
        <v>259.152889659110</v>
      </c>
      <c r="E9" s="20">
        <f>E6+E8</f>
        <v>285.068178625020</v>
      </c>
      <c r="F9" s="20">
        <f>F6+F8</f>
        <v>305.022951128770</v>
      </c>
    </row>
    <row r="10" ht="20.05" customHeight="1">
      <c r="B10" t="s" s="10">
        <v>9</v>
      </c>
      <c r="C10" s="19">
        <f>AVERAGE('Cashflow'!E30)</f>
        <v>-110.7</v>
      </c>
      <c r="D10" s="20">
        <f>C10</f>
        <v>-110.7</v>
      </c>
      <c r="E10" s="20">
        <f>D10</f>
        <v>-110.7</v>
      </c>
      <c r="F10" s="20">
        <f>E10</f>
        <v>-110.7</v>
      </c>
    </row>
    <row r="11" ht="20.1" customHeight="1">
      <c r="B11" t="s" s="10">
        <v>10</v>
      </c>
      <c r="C11" s="19">
        <f>C12+C13+C15</f>
        <v>-162.092515430640</v>
      </c>
      <c r="D11" s="20">
        <f>D12+D13+D15</f>
        <v>-148.452889659110</v>
      </c>
      <c r="E11" s="20">
        <f>E12+E13+E15</f>
        <v>-174.368178625020</v>
      </c>
      <c r="F11" s="20">
        <f>F12+F13+F15</f>
        <v>-194.322951128770</v>
      </c>
    </row>
    <row r="12" ht="20.1" customHeight="1">
      <c r="B12" t="s" s="10">
        <v>11</v>
      </c>
      <c r="C12" s="19">
        <f>-('Balance sheet'!G30)/20</f>
        <v>-740</v>
      </c>
      <c r="D12" s="20">
        <f>-C26/20</f>
        <v>-703</v>
      </c>
      <c r="E12" s="20">
        <f>-D26/20</f>
        <v>-667.85</v>
      </c>
      <c r="F12" s="20">
        <f>-E26/20</f>
        <v>-634.4575</v>
      </c>
    </row>
    <row r="13" ht="20.1" customHeight="1">
      <c r="B13" t="s" s="10">
        <v>12</v>
      </c>
      <c r="C13" s="19">
        <f>IF(C21&gt;0,-C21*0,0)</f>
        <v>0</v>
      </c>
      <c r="D13" s="20">
        <f>IF(D21&gt;0,-D21*0,0)</f>
        <v>0</v>
      </c>
      <c r="E13" s="20">
        <f>IF(E21&gt;0,-E21*0,0)</f>
        <v>0</v>
      </c>
      <c r="F13" s="20">
        <f>IF(F21&gt;0,-F21*0,0)</f>
        <v>0</v>
      </c>
    </row>
    <row r="14" ht="20.05" customHeight="1">
      <c r="B14" t="s" s="10">
        <v>13</v>
      </c>
      <c r="C14" s="19">
        <f>C9+C10+C12+C13</f>
        <v>-577.907484569360</v>
      </c>
      <c r="D14" s="20">
        <f>D9+D10+D12+D13</f>
        <v>-554.547110340890</v>
      </c>
      <c r="E14" s="20">
        <f>E9+E10+E12+E13</f>
        <v>-493.481821374980</v>
      </c>
      <c r="F14" s="20">
        <f>F9+F10+F12+F13</f>
        <v>-440.134548871230</v>
      </c>
    </row>
    <row r="15" ht="20.1" customHeight="1">
      <c r="B15" t="s" s="10">
        <v>14</v>
      </c>
      <c r="C15" s="19">
        <f>-MIN(0,C14)</f>
        <v>577.907484569360</v>
      </c>
      <c r="D15" s="20">
        <f>-MIN(C27,D14)</f>
        <v>554.547110340890</v>
      </c>
      <c r="E15" s="20">
        <f>-MIN(D27,E14)</f>
        <v>493.481821374980</v>
      </c>
      <c r="F15" s="20">
        <f>-MIN(E27,F14)</f>
        <v>440.134548871230</v>
      </c>
    </row>
    <row r="16" ht="20.1" customHeight="1">
      <c r="B16" t="s" s="10">
        <v>15</v>
      </c>
      <c r="C16" s="19">
        <f>'Balance sheet'!C30</f>
        <v>2086</v>
      </c>
      <c r="D16" s="20">
        <f>C18</f>
        <v>2086</v>
      </c>
      <c r="E16" s="20">
        <f>D18</f>
        <v>2086</v>
      </c>
      <c r="F16" s="20">
        <f>E18</f>
        <v>2086</v>
      </c>
    </row>
    <row r="17" ht="20.1" customHeight="1">
      <c r="B17" t="s" s="10">
        <v>16</v>
      </c>
      <c r="C17" s="19">
        <f>C9+C10+C11</f>
        <v>0</v>
      </c>
      <c r="D17" s="20">
        <f>D9+D10+D11</f>
        <v>0</v>
      </c>
      <c r="E17" s="20">
        <f>E9+E10+E11</f>
        <v>0</v>
      </c>
      <c r="F17" s="20">
        <f>F9+F10+F11</f>
        <v>0</v>
      </c>
    </row>
    <row r="18" ht="20.1" customHeight="1">
      <c r="B18" t="s" s="10">
        <v>17</v>
      </c>
      <c r="C18" s="19">
        <f>C16+C17</f>
        <v>2086</v>
      </c>
      <c r="D18" s="20">
        <f>D16+D17</f>
        <v>2086</v>
      </c>
      <c r="E18" s="20">
        <f>E16+E17</f>
        <v>2086</v>
      </c>
      <c r="F18" s="20">
        <f>F16+F17</f>
        <v>2086</v>
      </c>
    </row>
    <row r="19" ht="20.1" customHeight="1">
      <c r="B19" t="s" s="21">
        <v>18</v>
      </c>
      <c r="C19" s="22"/>
      <c r="D19" s="23"/>
      <c r="E19" s="23"/>
      <c r="F19" s="20"/>
    </row>
    <row r="20" ht="20.1" customHeight="1">
      <c r="B20" t="s" s="10">
        <v>19</v>
      </c>
      <c r="C20" s="19">
        <f>-AVERAGE('Sales'!E30)</f>
        <v>-64.09999999999999</v>
      </c>
      <c r="D20" s="20">
        <f>C20</f>
        <v>-64.09999999999999</v>
      </c>
      <c r="E20" s="20">
        <f>D20</f>
        <v>-64.09999999999999</v>
      </c>
      <c r="F20" s="20">
        <f>E20</f>
        <v>-64.09999999999999</v>
      </c>
    </row>
    <row r="21" ht="20.1" customHeight="1">
      <c r="B21" t="s" s="10">
        <v>20</v>
      </c>
      <c r="C21" s="19">
        <f>C6+C8+C20</f>
        <v>208.692515430640</v>
      </c>
      <c r="D21" s="20">
        <f>D6+D8+D20</f>
        <v>195.052889659110</v>
      </c>
      <c r="E21" s="20">
        <f>E6+E8+E20</f>
        <v>220.968178625020</v>
      </c>
      <c r="F21" s="20">
        <f>F6+F8+F20</f>
        <v>240.922951128770</v>
      </c>
    </row>
    <row r="22" ht="20.1" customHeight="1">
      <c r="B22" t="s" s="21">
        <v>21</v>
      </c>
      <c r="C22" s="22"/>
      <c r="D22" s="23"/>
      <c r="E22" s="23"/>
      <c r="F22" s="20"/>
    </row>
    <row r="23" ht="20.1" customHeight="1">
      <c r="B23" t="s" s="10">
        <v>22</v>
      </c>
      <c r="C23" s="19">
        <f>'Balance sheet'!E30+'Balance sheet'!F30-C10</f>
        <v>26298.7</v>
      </c>
      <c r="D23" s="20">
        <f>C23-D10</f>
        <v>26409.4</v>
      </c>
      <c r="E23" s="20">
        <f>D23-E10</f>
        <v>26520.1</v>
      </c>
      <c r="F23" s="20">
        <f>E23-F10</f>
        <v>26630.8</v>
      </c>
    </row>
    <row r="24" ht="20.1" customHeight="1">
      <c r="B24" t="s" s="10">
        <v>23</v>
      </c>
      <c r="C24" s="19">
        <f>'Balance sheet'!F30-C20</f>
        <v>2892.1</v>
      </c>
      <c r="D24" s="20">
        <f>C24-D20</f>
        <v>2956.2</v>
      </c>
      <c r="E24" s="20">
        <f>D24-E20</f>
        <v>3020.3</v>
      </c>
      <c r="F24" s="20">
        <f>E24-F20</f>
        <v>3084.4</v>
      </c>
    </row>
    <row r="25" ht="20.1" customHeight="1">
      <c r="B25" t="s" s="10">
        <v>24</v>
      </c>
      <c r="C25" s="19">
        <f>C23-C24</f>
        <v>23406.6</v>
      </c>
      <c r="D25" s="20">
        <f>D23-D24</f>
        <v>23453.2</v>
      </c>
      <c r="E25" s="20">
        <f>E23-E24</f>
        <v>23499.8</v>
      </c>
      <c r="F25" s="20">
        <f>F23-F24</f>
        <v>23546.4</v>
      </c>
    </row>
    <row r="26" ht="20.1" customHeight="1">
      <c r="B26" t="s" s="10">
        <v>11</v>
      </c>
      <c r="C26" s="19">
        <f>'Balance sheet'!G30+C12</f>
        <v>14060</v>
      </c>
      <c r="D26" s="20">
        <f>C26+D12</f>
        <v>13357</v>
      </c>
      <c r="E26" s="20">
        <f>D26+E12</f>
        <v>12689.15</v>
      </c>
      <c r="F26" s="20">
        <f>E26+F12</f>
        <v>12054.6925</v>
      </c>
    </row>
    <row r="27" ht="20.1" customHeight="1">
      <c r="B27" t="s" s="10">
        <v>14</v>
      </c>
      <c r="C27" s="19">
        <f>C15</f>
        <v>577.907484569360</v>
      </c>
      <c r="D27" s="20">
        <f>C27+D15</f>
        <v>1132.454594910250</v>
      </c>
      <c r="E27" s="20">
        <f>D27+E15</f>
        <v>1625.936416285230</v>
      </c>
      <c r="F27" s="20">
        <f>E27+F15</f>
        <v>2066.070965156460</v>
      </c>
    </row>
    <row r="28" ht="20.1" customHeight="1">
      <c r="B28" t="s" s="10">
        <v>25</v>
      </c>
      <c r="C28" s="19">
        <f>'Balance sheet'!H30+C21+C13</f>
        <v>10854.6925154306</v>
      </c>
      <c r="D28" s="20">
        <f>C28+D21+D13</f>
        <v>11049.7454050897</v>
      </c>
      <c r="E28" s="20">
        <f>D28+E21+E13</f>
        <v>11270.7135837147</v>
      </c>
      <c r="F28" s="20">
        <f>E28+F21+F13</f>
        <v>11511.6365348435</v>
      </c>
    </row>
    <row r="29" ht="20.1" customHeight="1">
      <c r="B29" t="s" s="10">
        <v>26</v>
      </c>
      <c r="C29" s="19">
        <f>C26+C27+C28-C18-C25</f>
        <v>-4e-11</v>
      </c>
      <c r="D29" s="20">
        <f>D26+D27+D28-D18-D25</f>
        <v>-5e-11</v>
      </c>
      <c r="E29" s="20">
        <f>E26+E27+E28-E18-E25</f>
        <v>-7e-11</v>
      </c>
      <c r="F29" s="20">
        <f>F26+F27+F28-F18-F25</f>
        <v>-4e-11</v>
      </c>
    </row>
    <row r="30" ht="20.1" customHeight="1">
      <c r="B30" t="s" s="10">
        <v>27</v>
      </c>
      <c r="C30" s="19">
        <f>C18-C26-C27</f>
        <v>-12551.9074845694</v>
      </c>
      <c r="D30" s="20">
        <f>D18-D26-D27</f>
        <v>-12403.4545949103</v>
      </c>
      <c r="E30" s="20">
        <f>E18-E26-E27</f>
        <v>-12229.0864162852</v>
      </c>
      <c r="F30" s="20">
        <f>F18-F26-F27</f>
        <v>-12034.7634651565</v>
      </c>
    </row>
    <row r="31" ht="20.1" customHeight="1">
      <c r="B31" t="s" s="10">
        <v>28</v>
      </c>
      <c r="C31" s="19"/>
      <c r="D31" s="20"/>
      <c r="E31" s="20"/>
      <c r="F31" s="20"/>
    </row>
    <row r="32" ht="20.1" customHeight="1">
      <c r="B32" t="s" s="10">
        <v>29</v>
      </c>
      <c r="C32" s="19">
        <f>'Cashflow'!K30-C11</f>
        <v>-2237.107484569360</v>
      </c>
      <c r="D32" s="20">
        <f>C32-D11</f>
        <v>-2088.654594910250</v>
      </c>
      <c r="E32" s="20">
        <f>D32-E11</f>
        <v>-1914.286416285230</v>
      </c>
      <c r="F32" s="20">
        <f>E32-F11</f>
        <v>-1719.963465156460</v>
      </c>
    </row>
    <row r="33" ht="20.1" customHeight="1">
      <c r="B33" t="s" s="10">
        <v>30</v>
      </c>
      <c r="C33" s="19"/>
      <c r="D33" s="20"/>
      <c r="E33" s="20"/>
      <c r="F33" s="20">
        <v>12330</v>
      </c>
    </row>
    <row r="34" ht="20.1" customHeight="1">
      <c r="B34" t="s" s="10">
        <v>31</v>
      </c>
      <c r="C34" s="19"/>
      <c r="D34" s="20"/>
      <c r="E34" s="20"/>
      <c r="F34" s="24">
        <f>F33/(F18+F25)</f>
        <v>0.481031819103947</v>
      </c>
    </row>
    <row r="35" ht="20.1" customHeight="1">
      <c r="B35" t="s" s="10">
        <v>32</v>
      </c>
      <c r="C35" s="19"/>
      <c r="D35" s="20"/>
      <c r="E35" s="20"/>
      <c r="F35" s="16">
        <f>-(C13+D13+E13+F13)/F33</f>
        <v>0</v>
      </c>
    </row>
    <row r="36" ht="20.1" customHeight="1">
      <c r="B36" t="s" s="10">
        <v>3</v>
      </c>
      <c r="C36" s="19"/>
      <c r="D36" s="20"/>
      <c r="E36" s="20"/>
      <c r="F36" s="20">
        <f>SUM(C9:F10)</f>
        <v>679.236534843540</v>
      </c>
    </row>
    <row r="37" ht="20.1" customHeight="1">
      <c r="B37" t="s" s="10">
        <v>33</v>
      </c>
      <c r="C37" s="19"/>
      <c r="D37" s="20"/>
      <c r="E37" s="20"/>
      <c r="F37" s="20">
        <f>'Balance sheet'!E30/F36</f>
        <v>34.3915540488129</v>
      </c>
    </row>
    <row r="38" ht="20.1" customHeight="1">
      <c r="B38" t="s" s="10">
        <v>28</v>
      </c>
      <c r="C38" s="19"/>
      <c r="D38" s="20"/>
      <c r="E38" s="20"/>
      <c r="F38" s="20">
        <f>F33/F36</f>
        <v>18.1527337937441</v>
      </c>
    </row>
    <row r="39" ht="20.1" customHeight="1">
      <c r="B39" t="s" s="10">
        <v>34</v>
      </c>
      <c r="C39" s="19"/>
      <c r="D39" s="20"/>
      <c r="E39" s="20"/>
      <c r="F39" s="20">
        <v>20</v>
      </c>
    </row>
    <row r="40" ht="20.1" customHeight="1">
      <c r="B40" t="s" s="10">
        <v>35</v>
      </c>
      <c r="C40" s="19"/>
      <c r="D40" s="20"/>
      <c r="E40" s="20"/>
      <c r="F40" s="20">
        <f>F36*F39</f>
        <v>13584.7306968708</v>
      </c>
    </row>
    <row r="41" ht="20.1" customHeight="1">
      <c r="B41" t="s" s="10">
        <v>36</v>
      </c>
      <c r="C41" s="19"/>
      <c r="D41" s="20"/>
      <c r="E41" s="20"/>
      <c r="F41" s="20">
        <f>F33/F43</f>
        <v>14.4210526315789</v>
      </c>
    </row>
    <row r="42" ht="20.1" customHeight="1">
      <c r="B42" t="s" s="10">
        <v>37</v>
      </c>
      <c r="C42" s="19"/>
      <c r="D42" s="20"/>
      <c r="E42" s="20"/>
      <c r="F42" s="20">
        <f>F40/F41</f>
        <v>942.006873140679</v>
      </c>
    </row>
    <row r="43" ht="20.1" customHeight="1">
      <c r="B43" t="s" s="10">
        <v>38</v>
      </c>
      <c r="C43" s="19"/>
      <c r="D43" s="20"/>
      <c r="E43" s="20"/>
      <c r="F43" s="20">
        <f>'Share price'!C103</f>
        <v>855</v>
      </c>
    </row>
    <row r="44" ht="20.1" customHeight="1">
      <c r="B44" t="s" s="10">
        <v>39</v>
      </c>
      <c r="C44" s="19"/>
      <c r="D44" s="20"/>
      <c r="E44" s="20"/>
      <c r="F44" s="16">
        <f>F42/F43-1</f>
        <v>0.10176242472594</v>
      </c>
    </row>
    <row r="45" ht="20.1" customHeight="1">
      <c r="B45" t="s" s="10">
        <v>40</v>
      </c>
      <c r="C45" s="19"/>
      <c r="D45" s="20"/>
      <c r="E45" s="20"/>
      <c r="F45" s="16">
        <f>'Sales'!C30/'Sales'!C26-1</f>
        <v>0.234652633375317</v>
      </c>
    </row>
    <row r="46" ht="20.1" customHeight="1">
      <c r="B46" t="s" s="10">
        <v>41</v>
      </c>
      <c r="C46" s="19"/>
      <c r="D46" s="20"/>
      <c r="E46" s="20"/>
      <c r="F46" s="16">
        <f>('Sales'!D23+'Sales'!D30+'Sales'!D24+'Sales'!D25+'Sales'!D26+'Sales'!D27+'Sales'!D28+'Sales'!D29)/('Sales'!C23+'Sales'!C24+'Sales'!C25+'Sales'!C26+'Sales'!C27+'Sales'!C28+'Sales'!C30+'Sales'!C29)-1</f>
        <v>0.0592423136375932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3438" style="25" customWidth="1"/>
    <col min="2" max="2" width="11.1719" style="25" customWidth="1"/>
    <col min="3" max="11" width="11.3047" style="25" customWidth="1"/>
    <col min="12" max="16384" width="16.3516" style="25" customWidth="1"/>
  </cols>
  <sheetData>
    <row r="1" ht="16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6">
        <v>1</v>
      </c>
      <c r="C3" t="s" s="26">
        <v>5</v>
      </c>
      <c r="D3" t="s" s="26">
        <v>34</v>
      </c>
      <c r="E3" t="s" s="26">
        <v>23</v>
      </c>
      <c r="F3" t="s" s="26">
        <v>42</v>
      </c>
      <c r="G3" t="s" s="26">
        <v>42</v>
      </c>
      <c r="H3" t="s" s="26">
        <v>43</v>
      </c>
      <c r="I3" t="s" s="26">
        <v>44</v>
      </c>
      <c r="J3" t="s" s="26">
        <v>45</v>
      </c>
      <c r="K3" t="s" s="26">
        <v>45</v>
      </c>
    </row>
    <row r="4" ht="20.25" customHeight="1">
      <c r="B4" s="27">
        <v>2015</v>
      </c>
      <c r="C4" s="28">
        <v>946</v>
      </c>
      <c r="D4" s="29"/>
      <c r="E4" s="30">
        <v>59</v>
      </c>
      <c r="F4" s="30">
        <v>242</v>
      </c>
      <c r="G4" s="31"/>
      <c r="H4" s="9"/>
      <c r="I4" s="32">
        <f>(E4+F4-C4)/C4</f>
        <v>-0.681818181818182</v>
      </c>
      <c r="J4" s="32"/>
      <c r="K4" s="32">
        <f>('Cashflow'!D4-'Cashflow'!C4)/'Cashflow'!C4</f>
        <v>-0.46973803071364</v>
      </c>
    </row>
    <row r="5" ht="20.05" customHeight="1">
      <c r="B5" s="33"/>
      <c r="C5" s="19">
        <v>1651</v>
      </c>
      <c r="D5" s="23"/>
      <c r="E5" s="20">
        <v>76</v>
      </c>
      <c r="F5" s="20">
        <v>283</v>
      </c>
      <c r="G5" s="20"/>
      <c r="H5" s="16">
        <f>C5/C4-1</f>
        <v>0.745243128964059</v>
      </c>
      <c r="I5" s="16">
        <f>(E5+F5-C5)/C5</f>
        <v>-0.782556026650515</v>
      </c>
      <c r="J5" s="16"/>
      <c r="K5" s="16">
        <f>('Cashflow'!D5-'Cashflow'!C5)/'Cashflow'!C5</f>
        <v>-1.30635245901639</v>
      </c>
    </row>
    <row r="6" ht="20.05" customHeight="1">
      <c r="B6" s="33"/>
      <c r="C6" s="19">
        <v>1899</v>
      </c>
      <c r="D6" s="23"/>
      <c r="E6" s="20">
        <v>64</v>
      </c>
      <c r="F6" s="20">
        <v>446</v>
      </c>
      <c r="G6" s="20"/>
      <c r="H6" s="16">
        <f>C6/C5-1</f>
        <v>0.150211992731678</v>
      </c>
      <c r="I6" s="16">
        <f>(E6+F6-C6)/C6</f>
        <v>-0.731437598736177</v>
      </c>
      <c r="J6" s="16"/>
      <c r="K6" s="16">
        <f>('Cashflow'!D6-'Cashflow'!C6)/'Cashflow'!C6</f>
        <v>-1.1478672985782</v>
      </c>
    </row>
    <row r="7" ht="20.05" customHeight="1">
      <c r="B7" s="33"/>
      <c r="C7" s="19">
        <v>1128</v>
      </c>
      <c r="D7" s="23"/>
      <c r="E7" s="20">
        <v>42</v>
      </c>
      <c r="F7" s="20">
        <v>93</v>
      </c>
      <c r="G7" s="20">
        <f>AVERAGE(F4:F7)</f>
        <v>266</v>
      </c>
      <c r="H7" s="16">
        <f>C7/C6-1</f>
        <v>-0.406003159557662</v>
      </c>
      <c r="I7" s="16">
        <f>(E7+F7-C7)/C7</f>
        <v>-0.88031914893617</v>
      </c>
      <c r="J7" s="16"/>
      <c r="K7" s="16">
        <f>('Cashflow'!D7-'Cashflow'!C7)/'Cashflow'!C7</f>
        <v>-1.19760247486466</v>
      </c>
    </row>
    <row r="8" ht="20.05" customHeight="1">
      <c r="B8" s="34">
        <v>2016</v>
      </c>
      <c r="C8" s="19">
        <v>1047</v>
      </c>
      <c r="D8" s="23"/>
      <c r="E8" s="20">
        <v>64</v>
      </c>
      <c r="F8" s="20">
        <v>83</v>
      </c>
      <c r="G8" s="20">
        <f>AVERAGE(F5:F8)</f>
        <v>226.25</v>
      </c>
      <c r="H8" s="16">
        <f>C8/C7-1</f>
        <v>-0.07180851063829791</v>
      </c>
      <c r="I8" s="16">
        <f>(E8+F8-C8)/C8</f>
        <v>-0.859598853868195</v>
      </c>
      <c r="J8" s="16">
        <f>AVERAGE(K5:K8)</f>
        <v>-1.16275361950415</v>
      </c>
      <c r="K8" s="16">
        <f>('Cashflow'!D8-'Cashflow'!C8)/'Cashflow'!C8</f>
        <v>-0.999192245557351</v>
      </c>
    </row>
    <row r="9" ht="20.05" customHeight="1">
      <c r="B9" s="33"/>
      <c r="C9" s="19">
        <v>1271</v>
      </c>
      <c r="D9" s="23"/>
      <c r="E9" s="20">
        <v>70</v>
      </c>
      <c r="F9" s="20">
        <v>48</v>
      </c>
      <c r="G9" s="20">
        <f>AVERAGE(F6:F9)</f>
        <v>167.5</v>
      </c>
      <c r="H9" s="16">
        <f>C9/C8-1</f>
        <v>0.213944603629417</v>
      </c>
      <c r="I9" s="16">
        <f>(E9+F9-C9)/C9</f>
        <v>-0.907159716758458</v>
      </c>
      <c r="J9" s="16">
        <f>AVERAGE(K6:K9)</f>
        <v>-1.10135680257451</v>
      </c>
      <c r="K9" s="16">
        <f>('Cashflow'!D9-'Cashflow'!C9)/'Cashflow'!C9</f>
        <v>-1.06076519129782</v>
      </c>
    </row>
    <row r="10" ht="20.05" customHeight="1">
      <c r="B10" s="33"/>
      <c r="C10" s="19">
        <v>1296</v>
      </c>
      <c r="D10" s="23"/>
      <c r="E10" s="20">
        <v>68</v>
      </c>
      <c r="F10" s="20">
        <v>119</v>
      </c>
      <c r="G10" s="20">
        <f>AVERAGE(F7:F10)</f>
        <v>85.75</v>
      </c>
      <c r="H10" s="16">
        <f>C10/C9-1</f>
        <v>0.019669551534225</v>
      </c>
      <c r="I10" s="16">
        <f>(E10+F10-C10)/C10</f>
        <v>-0.85570987654321</v>
      </c>
      <c r="J10" s="16">
        <f>AVERAGE(K7:K10)</f>
        <v>-1.01871495771977</v>
      </c>
      <c r="K10" s="16">
        <f>('Cashflow'!D10-'Cashflow'!C10)/'Cashflow'!C10</f>
        <v>-0.817299919159256</v>
      </c>
    </row>
    <row r="11" ht="20.05" customHeight="1">
      <c r="B11" s="33"/>
      <c r="C11" s="19">
        <v>1784</v>
      </c>
      <c r="D11" s="23"/>
      <c r="E11" s="20">
        <v>67</v>
      </c>
      <c r="F11" s="20">
        <v>355</v>
      </c>
      <c r="G11" s="20">
        <f>AVERAGE(F8:F11)</f>
        <v>151.25</v>
      </c>
      <c r="H11" s="16">
        <f>C11/C10-1</f>
        <v>0.376543209876543</v>
      </c>
      <c r="I11" s="16">
        <f>(E11+F11-C11)/C11</f>
        <v>-0.763452914798206</v>
      </c>
      <c r="J11" s="16">
        <f>AVERAGE(K8:K11)</f>
        <v>-0.989839486932602</v>
      </c>
      <c r="K11" s="16">
        <f>('Cashflow'!D11-'Cashflow'!C11)/'Cashflow'!C11</f>
        <v>-1.08210059171598</v>
      </c>
    </row>
    <row r="12" ht="20.05" customHeight="1">
      <c r="B12" s="34">
        <v>2017</v>
      </c>
      <c r="C12" s="19">
        <v>1230</v>
      </c>
      <c r="D12" s="23"/>
      <c r="E12" s="20">
        <v>76</v>
      </c>
      <c r="F12" s="20">
        <v>106</v>
      </c>
      <c r="G12" s="20">
        <f>AVERAGE(F9:F12)</f>
        <v>157</v>
      </c>
      <c r="H12" s="16">
        <f>C12/C11-1</f>
        <v>-0.310538116591928</v>
      </c>
      <c r="I12" s="16">
        <f>(E12+F12-C12)/C12</f>
        <v>-0.852032520325203</v>
      </c>
      <c r="J12" s="16">
        <f>AVERAGE(K9:K12)</f>
        <v>-0.9726808599501769</v>
      </c>
      <c r="K12" s="16">
        <f>('Cashflow'!D12-'Cashflow'!C12)/'Cashflow'!C12</f>
        <v>-0.930557737627651</v>
      </c>
    </row>
    <row r="13" ht="20.05" customHeight="1">
      <c r="B13" s="33"/>
      <c r="C13" s="19">
        <v>1470</v>
      </c>
      <c r="D13" s="23"/>
      <c r="E13" s="20">
        <v>76</v>
      </c>
      <c r="F13" s="20">
        <v>28</v>
      </c>
      <c r="G13" s="20">
        <f>AVERAGE(F10:F13)</f>
        <v>152</v>
      </c>
      <c r="H13" s="16">
        <f>C13/C12-1</f>
        <v>0.195121951219512</v>
      </c>
      <c r="I13" s="16">
        <f>(E13+F13-C13)/C13</f>
        <v>-0.929251700680272</v>
      </c>
      <c r="J13" s="16">
        <f>AVERAGE(K10:K13)</f>
        <v>-0.959563797933582</v>
      </c>
      <c r="K13" s="16">
        <f>('Cashflow'!D13-'Cashflow'!C13)/'Cashflow'!C13</f>
        <v>-1.00829694323144</v>
      </c>
    </row>
    <row r="14" ht="20.05" customHeight="1">
      <c r="B14" s="33"/>
      <c r="C14" s="19">
        <v>1295</v>
      </c>
      <c r="D14" s="23"/>
      <c r="E14" s="20">
        <v>77</v>
      </c>
      <c r="F14" s="20">
        <v>105</v>
      </c>
      <c r="G14" s="20">
        <f>AVERAGE(F11:F14)</f>
        <v>148.5</v>
      </c>
      <c r="H14" s="16">
        <f>C14/C13-1</f>
        <v>-0.119047619047619</v>
      </c>
      <c r="I14" s="16">
        <f>(E14+F14-C14)/C14</f>
        <v>-0.859459459459459</v>
      </c>
      <c r="J14" s="16">
        <f>AVERAGE(K11:K14)</f>
        <v>-1.00047859247381</v>
      </c>
      <c r="K14" s="16">
        <f>('Cashflow'!D14-'Cashflow'!C14)/'Cashflow'!C14</f>
        <v>-0.9809590973201689</v>
      </c>
    </row>
    <row r="15" ht="20.05" customHeight="1">
      <c r="B15" s="33"/>
      <c r="C15" s="19">
        <v>1646</v>
      </c>
      <c r="D15" s="23"/>
      <c r="E15" s="20">
        <v>106</v>
      </c>
      <c r="F15" s="20">
        <v>293</v>
      </c>
      <c r="G15" s="20">
        <f>AVERAGE(F12:F15)</f>
        <v>133</v>
      </c>
      <c r="H15" s="16">
        <f>C15/C14-1</f>
        <v>0.271042471042471</v>
      </c>
      <c r="I15" s="16">
        <f>(E15+F15-C15)/C15</f>
        <v>-0.7575941676792221</v>
      </c>
      <c r="J15" s="16">
        <f>AVERAGE(K12:K15)</f>
        <v>-1.0527382546714</v>
      </c>
      <c r="K15" s="16">
        <f>('Cashflow'!D15-'Cashflow'!C15)/'Cashflow'!C15</f>
        <v>-1.29113924050633</v>
      </c>
    </row>
    <row r="16" ht="20.05" customHeight="1">
      <c r="B16" s="34">
        <v>2018</v>
      </c>
      <c r="C16" s="19">
        <v>1197</v>
      </c>
      <c r="D16" s="23"/>
      <c r="E16" s="20">
        <v>24</v>
      </c>
      <c r="F16" s="20">
        <v>85</v>
      </c>
      <c r="G16" s="20">
        <f>AVERAGE(F13:F16)</f>
        <v>127.75</v>
      </c>
      <c r="H16" s="16">
        <f>C16/C15-1</f>
        <v>-0.272782503037667</v>
      </c>
      <c r="I16" s="16">
        <f>(E16+F16-C16)/C16</f>
        <v>-0.908939014202172</v>
      </c>
      <c r="J16" s="16">
        <f>AVERAGE(K13:K16)</f>
        <v>-1.04363243972085</v>
      </c>
      <c r="K16" s="16">
        <f>('Cashflow'!D16-'Cashflow'!C16)/'Cashflow'!C16</f>
        <v>-0.894134477825465</v>
      </c>
    </row>
    <row r="17" ht="20.05" customHeight="1">
      <c r="B17" s="33"/>
      <c r="C17" s="19">
        <v>1466</v>
      </c>
      <c r="D17" s="23"/>
      <c r="E17" s="20">
        <v>129</v>
      </c>
      <c r="F17" s="20">
        <v>116</v>
      </c>
      <c r="G17" s="20">
        <f>AVERAGE(F14:F17)</f>
        <v>149.75</v>
      </c>
      <c r="H17" s="16">
        <f>C17/C16-1</f>
        <v>0.224728487886383</v>
      </c>
      <c r="I17" s="16">
        <f>(E17+F17-C17)/C17</f>
        <v>-0.832878581173261</v>
      </c>
      <c r="J17" s="16">
        <f>AVERAGE(K14:K17)</f>
        <v>-1.03579636012298</v>
      </c>
      <c r="K17" s="16">
        <f>('Cashflow'!D17-'Cashflow'!C17)/'Cashflow'!C17</f>
        <v>-0.976952624839949</v>
      </c>
    </row>
    <row r="18" ht="20.05" customHeight="1">
      <c r="B18" s="33"/>
      <c r="C18" s="19">
        <v>1360</v>
      </c>
      <c r="D18" s="23"/>
      <c r="E18" s="20">
        <v>76</v>
      </c>
      <c r="F18" s="20">
        <v>191</v>
      </c>
      <c r="G18" s="20">
        <f>AVERAGE(F15:F18)</f>
        <v>171.25</v>
      </c>
      <c r="H18" s="16">
        <f>C18/C17-1</f>
        <v>-0.07230559345156889</v>
      </c>
      <c r="I18" s="16">
        <f>(E18+F18-C18)/C18</f>
        <v>-0.803676470588235</v>
      </c>
      <c r="J18" s="16">
        <f>AVERAGE(K15:K18)</f>
        <v>-0.9990345950521951</v>
      </c>
      <c r="K18" s="16">
        <f>('Cashflow'!D18-'Cashflow'!C18)/'Cashflow'!C18</f>
        <v>-0.833912037037037</v>
      </c>
    </row>
    <row r="19" ht="20.05" customHeight="1">
      <c r="B19" s="33"/>
      <c r="C19" s="19">
        <v>1638</v>
      </c>
      <c r="D19" s="23"/>
      <c r="E19" s="20">
        <v>73</v>
      </c>
      <c r="F19" s="20">
        <v>299</v>
      </c>
      <c r="G19" s="20">
        <f>AVERAGE(F16:F19)</f>
        <v>172.75</v>
      </c>
      <c r="H19" s="16">
        <f>C19/C18-1</f>
        <v>0.204411764705882</v>
      </c>
      <c r="I19" s="16">
        <f>(E19+F19-C19)/C19</f>
        <v>-0.772893772893773</v>
      </c>
      <c r="J19" s="16">
        <f>AVERAGE(K16:K19)</f>
        <v>-1.01930972183413</v>
      </c>
      <c r="K19" s="16">
        <f>('Cashflow'!D19-'Cashflow'!C19)/'Cashflow'!C19</f>
        <v>-1.37223974763407</v>
      </c>
    </row>
    <row r="20" ht="20.05" customHeight="1">
      <c r="B20" s="34">
        <v>2019</v>
      </c>
      <c r="C20" s="19">
        <v>1061</v>
      </c>
      <c r="D20" s="23"/>
      <c r="E20" s="20">
        <v>73</v>
      </c>
      <c r="F20" s="20">
        <v>103</v>
      </c>
      <c r="G20" s="20">
        <f>AVERAGE(F17:F20)</f>
        <v>177.25</v>
      </c>
      <c r="H20" s="16">
        <f>C20/C19-1</f>
        <v>-0.352258852258852</v>
      </c>
      <c r="I20" s="16">
        <f>(E20+F20-C20)/C20</f>
        <v>-0.834118755890669</v>
      </c>
      <c r="J20" s="16">
        <f>AVERAGE(K17:K20)</f>
        <v>-1.00250338460932</v>
      </c>
      <c r="K20" s="16">
        <f>('Cashflow'!D20-'Cashflow'!C20)/'Cashflow'!C20</f>
        <v>-0.826909128926235</v>
      </c>
    </row>
    <row r="21" ht="20.05" customHeight="1">
      <c r="B21" s="33"/>
      <c r="C21" s="19">
        <v>1617</v>
      </c>
      <c r="D21" s="23"/>
      <c r="E21" s="20">
        <v>68</v>
      </c>
      <c r="F21" s="20">
        <v>113</v>
      </c>
      <c r="G21" s="20">
        <f>AVERAGE(F18:F21)</f>
        <v>176.5</v>
      </c>
      <c r="H21" s="16">
        <f>C21/C20-1</f>
        <v>0.524033930254477</v>
      </c>
      <c r="I21" s="16">
        <f>(E21+F21-C21)/C21</f>
        <v>-0.888064316635745</v>
      </c>
      <c r="J21" s="16">
        <f>AVERAGE(K18:K21)</f>
        <v>-0.9790241999653</v>
      </c>
      <c r="K21" s="16">
        <f>('Cashflow'!D21-'Cashflow'!C21)/'Cashflow'!C21</f>
        <v>-0.883035886263857</v>
      </c>
    </row>
    <row r="22" ht="20.05" customHeight="1">
      <c r="B22" s="33"/>
      <c r="C22" s="19">
        <v>1733</v>
      </c>
      <c r="D22" s="20"/>
      <c r="E22" s="20">
        <v>68</v>
      </c>
      <c r="F22" s="20">
        <v>200</v>
      </c>
      <c r="G22" s="20">
        <f>AVERAGE(F19:F22)</f>
        <v>178.75</v>
      </c>
      <c r="H22" s="16">
        <f>C22/C21-1</f>
        <v>0.0717377860235003</v>
      </c>
      <c r="I22" s="16">
        <f>(E22+F22-C22)/C22</f>
        <v>-0.84535487593768</v>
      </c>
      <c r="J22" s="16">
        <f>AVERAGE(K19:K22)</f>
        <v>-0.991275557308728</v>
      </c>
      <c r="K22" s="16">
        <f>('Cashflow'!D22-'Cashflow'!C22)/'Cashflow'!C22</f>
        <v>-0.882917466410749</v>
      </c>
    </row>
    <row r="23" ht="20.05" customHeight="1">
      <c r="B23" s="33"/>
      <c r="C23" s="19">
        <v>1531</v>
      </c>
      <c r="D23" s="20">
        <v>1883.7</v>
      </c>
      <c r="E23" s="20">
        <v>69</v>
      </c>
      <c r="F23" s="20">
        <v>197</v>
      </c>
      <c r="G23" s="20">
        <f>AVERAGE(F20:F23)</f>
        <v>153.25</v>
      </c>
      <c r="H23" s="16">
        <f>C23/C22-1</f>
        <v>-0.116560877091748</v>
      </c>
      <c r="I23" s="16">
        <f>(E23+F23-C23)/C23</f>
        <v>-0.826257348138472</v>
      </c>
      <c r="J23" s="16">
        <f>AVERAGE(K20:K23)</f>
        <v>-0.920960268718253</v>
      </c>
      <c r="K23" s="16">
        <f>('Cashflow'!D23-'Cashflow'!C23)/'Cashflow'!C23</f>
        <v>-1.09097859327217</v>
      </c>
    </row>
    <row r="24" ht="20.05" customHeight="1">
      <c r="B24" s="34">
        <v>2020</v>
      </c>
      <c r="C24" s="19">
        <v>1039.4</v>
      </c>
      <c r="D24" s="20">
        <v>848.8</v>
      </c>
      <c r="E24" s="20">
        <v>68</v>
      </c>
      <c r="F24" s="20">
        <v>31.86</v>
      </c>
      <c r="G24" s="20">
        <f>AVERAGE(F21:F24)</f>
        <v>135.465</v>
      </c>
      <c r="H24" s="16">
        <f>C24/C23-1</f>
        <v>-0.321097322011757</v>
      </c>
      <c r="I24" s="16">
        <f>(E24+F24-C24)/C24</f>
        <v>-0.903925341543198</v>
      </c>
      <c r="J24" s="16">
        <f>AVERAGE(K21:K24)</f>
        <v>-0.9542376708278461</v>
      </c>
      <c r="K24" s="16">
        <f>('Cashflow'!D24-'Cashflow'!C24)/'Cashflow'!C24</f>
        <v>-0.960018737364606</v>
      </c>
    </row>
    <row r="25" ht="20.05" customHeight="1">
      <c r="B25" s="33"/>
      <c r="C25" s="19">
        <f>2182-C24</f>
        <v>1142.6</v>
      </c>
      <c r="D25" s="20">
        <v>1051.05</v>
      </c>
      <c r="E25" s="20">
        <v>73</v>
      </c>
      <c r="F25" s="20">
        <f>38-F24</f>
        <v>6.14</v>
      </c>
      <c r="G25" s="20">
        <f>AVERAGE(F22:F25)</f>
        <v>108.75</v>
      </c>
      <c r="H25" s="16">
        <f>C25/C24-1</f>
        <v>0.0992880507985376</v>
      </c>
      <c r="I25" s="16">
        <f>(E25+F25-C25)/C25</f>
        <v>-0.930736915806056</v>
      </c>
      <c r="J25" s="16">
        <f>AVERAGE(K22:K25)</f>
        <v>-1.10074966394045</v>
      </c>
      <c r="K25" s="16">
        <f>('Cashflow'!D25-'Cashflow'!C25)/'Cashflow'!C25</f>
        <v>-1.46908385871429</v>
      </c>
    </row>
    <row r="26" ht="20.05" customHeight="1">
      <c r="B26" s="33"/>
      <c r="C26" s="19">
        <f>3260.198-SUM(C24:C25)</f>
        <v>1078.198</v>
      </c>
      <c r="D26" s="20">
        <v>1473.05</v>
      </c>
      <c r="E26" s="20">
        <f>150.5+56.6-SUM(E24:E25)</f>
        <v>66.09999999999999</v>
      </c>
      <c r="F26" s="20">
        <f>29.4-SUM(F24:F25)</f>
        <v>-8.6</v>
      </c>
      <c r="G26" s="20">
        <f>AVERAGE(F23:F26)</f>
        <v>56.6</v>
      </c>
      <c r="H26" s="16">
        <f>C26/C25-1</f>
        <v>-0.0563644319971994</v>
      </c>
      <c r="I26" s="16">
        <f>(E26+F26-C26)/C26</f>
        <v>-0.946670277629897</v>
      </c>
      <c r="J26" s="16">
        <f>AVERAGE(K23:K26)</f>
        <v>-1.11617937705427</v>
      </c>
      <c r="K26" s="16">
        <f>('Cashflow'!D26-'Cashflow'!C26)/'Cashflow'!C26</f>
        <v>-0.9446363188660259</v>
      </c>
    </row>
    <row r="27" ht="20.05" customHeight="1">
      <c r="B27" s="33"/>
      <c r="C27" s="19">
        <f>5030-SUM(C24:C26)</f>
        <v>1769.802</v>
      </c>
      <c r="D27" s="20">
        <v>1218.36374</v>
      </c>
      <c r="E27" s="20">
        <f>275.9-SUM(E24:E26)</f>
        <v>68.8</v>
      </c>
      <c r="F27" s="20">
        <f>245.9-SUM(F24:F26)</f>
        <v>216.5</v>
      </c>
      <c r="G27" s="20">
        <f>AVERAGE(F24:F27)</f>
        <v>61.475</v>
      </c>
      <c r="H27" s="16">
        <f>C27/C26-1</f>
        <v>0.641444335827</v>
      </c>
      <c r="I27" s="16">
        <f>(E27+F27-C27)/C27</f>
        <v>-0.8387955262792109</v>
      </c>
      <c r="J27" s="16">
        <f>AVERAGE(K24:K27)</f>
        <v>-1.06317505916322</v>
      </c>
      <c r="K27" s="16">
        <f>('Cashflow'!D27-'Cashflow'!C27)/'Cashflow'!C27</f>
        <v>-0.87896132170797</v>
      </c>
    </row>
    <row r="28" ht="20.05" customHeight="1">
      <c r="B28" s="34">
        <v>2021</v>
      </c>
      <c r="C28" s="19">
        <v>1070.6</v>
      </c>
      <c r="D28" s="20">
        <v>1415.8416</v>
      </c>
      <c r="E28" s="20">
        <f>48.8+16.4</f>
        <v>65.2</v>
      </c>
      <c r="F28" s="20">
        <v>36.8</v>
      </c>
      <c r="G28" s="20">
        <f>AVERAGE(F25:F28)</f>
        <v>62.71</v>
      </c>
      <c r="H28" s="16">
        <f>C28/C27-1</f>
        <v>-0.395073573201974</v>
      </c>
      <c r="I28" s="16">
        <f>(E28+F28-C28)/C28</f>
        <v>-0.904726321688773</v>
      </c>
      <c r="J28" s="16">
        <f>AVERAGE(K25:K28)</f>
        <v>-0.998033862262916</v>
      </c>
      <c r="K28" s="16">
        <f>('Cashflow'!D28-'Cashflow'!C28)/'Cashflow'!C28</f>
        <v>-0.699453949763378</v>
      </c>
    </row>
    <row r="29" ht="20.05" customHeight="1">
      <c r="B29" s="33"/>
      <c r="C29" s="19">
        <f>2458.6-C28</f>
        <v>1388</v>
      </c>
      <c r="D29" s="20">
        <v>1712.96</v>
      </c>
      <c r="E29" s="20">
        <f>100.6+33.8-E28</f>
        <v>69.2</v>
      </c>
      <c r="F29" s="20">
        <f>155.8-F28</f>
        <v>119</v>
      </c>
      <c r="G29" s="20">
        <f>AVERAGE(F26:F29)</f>
        <v>90.925</v>
      </c>
      <c r="H29" s="16">
        <f>C29/C28-1</f>
        <v>0.296469269568466</v>
      </c>
      <c r="I29" s="16">
        <f>(E29+F29-C29)/C29</f>
        <v>-0.864409221902017</v>
      </c>
      <c r="J29" s="16">
        <f>AVERAGE(K26:K29)</f>
        <v>-0.791173558289174</v>
      </c>
      <c r="K29" s="16">
        <f>('Cashflow'!D29-'Cashflow'!C29)/'Cashflow'!C29</f>
        <v>-0.641642642819321</v>
      </c>
    </row>
    <row r="30" ht="20.05" customHeight="1">
      <c r="B30" s="33"/>
      <c r="C30" s="19">
        <f>3789.8-SUM(C28:C29)</f>
        <v>1331.2</v>
      </c>
      <c r="D30" s="20">
        <v>1360.24</v>
      </c>
      <c r="E30" s="20">
        <f>150+48.5-SUM(E28:E29)</f>
        <v>64.09999999999999</v>
      </c>
      <c r="F30" s="20">
        <f>234.3-SUM(F28:F29)</f>
        <v>78.5</v>
      </c>
      <c r="G30" s="20">
        <f>AVERAGE(F27:F30)</f>
        <v>112.7</v>
      </c>
      <c r="H30" s="16">
        <f>C30/C29-1</f>
        <v>-0.0409221902017291</v>
      </c>
      <c r="I30" s="16">
        <f>(E30+F30-C30)/C30</f>
        <v>-0.8928786057692309</v>
      </c>
      <c r="J30" s="16">
        <f>AVERAGE(K27:K30)</f>
        <v>-0.734535462971701</v>
      </c>
      <c r="K30" s="16">
        <f>('Cashflow'!D30-'Cashflow'!C30)/'Cashflow'!C30</f>
        <v>-0.718083937596133</v>
      </c>
    </row>
    <row r="31" ht="20.05" customHeight="1">
      <c r="B31" s="33"/>
      <c r="C31" s="19"/>
      <c r="D31" s="20">
        <f>'Model'!C6</f>
        <v>1464.32</v>
      </c>
      <c r="E31" s="23"/>
      <c r="F31" s="20"/>
      <c r="G31" s="18">
        <f>'Model'!F21</f>
        <v>240.922951128770</v>
      </c>
      <c r="H31" s="12"/>
      <c r="I31" s="16">
        <f>'Model'!C7</f>
        <v>-0.813707034370466</v>
      </c>
      <c r="J31" s="35"/>
      <c r="K31" s="16"/>
    </row>
    <row r="32" ht="20.05" customHeight="1">
      <c r="B32" s="34">
        <v>2022</v>
      </c>
      <c r="C32" s="19"/>
      <c r="D32" s="20">
        <f>'Model'!D6</f>
        <v>1391.104</v>
      </c>
      <c r="E32" s="23"/>
      <c r="F32" s="23"/>
      <c r="G32" s="18"/>
      <c r="H32" s="12"/>
      <c r="I32" s="12"/>
      <c r="J32" s="16"/>
      <c r="K32" s="16"/>
    </row>
    <row r="33" ht="20.05" customHeight="1">
      <c r="B33" s="33"/>
      <c r="C33" s="19"/>
      <c r="D33" s="20">
        <f>'Model'!E6</f>
        <v>1530.2144</v>
      </c>
      <c r="E33" s="23"/>
      <c r="F33" s="23"/>
      <c r="G33" s="18"/>
      <c r="H33" s="12"/>
      <c r="I33" s="12"/>
      <c r="J33" s="16"/>
      <c r="K33" s="16"/>
    </row>
    <row r="34" ht="20.05" customHeight="1">
      <c r="B34" s="33"/>
      <c r="C34" s="19"/>
      <c r="D34" s="20">
        <f>'Model'!F6</f>
        <v>1637.329408</v>
      </c>
      <c r="E34" s="23"/>
      <c r="F34" s="23"/>
      <c r="G34" s="18"/>
      <c r="H34" s="12"/>
      <c r="I34" s="12"/>
      <c r="J34" s="16"/>
      <c r="K34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8906" style="36" customWidth="1"/>
    <col min="2" max="2" width="8.15625" style="36" customWidth="1"/>
    <col min="3" max="3" width="11.1484" style="36" customWidth="1"/>
    <col min="4" max="4" width="10.8047" style="36" customWidth="1"/>
    <col min="5" max="5" width="10.6172" style="36" customWidth="1"/>
    <col min="6" max="10" width="9.92188" style="36" customWidth="1"/>
    <col min="11" max="11" width="13.375" style="36" customWidth="1"/>
    <col min="12" max="16384" width="16.3516" style="36" customWidth="1"/>
  </cols>
  <sheetData>
    <row r="1" ht="34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6">
        <v>1</v>
      </c>
      <c r="C3" t="s" s="26">
        <v>46</v>
      </c>
      <c r="D3" t="s" s="26">
        <v>8</v>
      </c>
      <c r="E3" t="s" s="26">
        <v>47</v>
      </c>
      <c r="F3" t="s" s="26">
        <v>11</v>
      </c>
      <c r="G3" t="s" s="26">
        <v>25</v>
      </c>
      <c r="H3" t="s" s="26">
        <v>10</v>
      </c>
      <c r="I3" t="s" s="26">
        <v>48</v>
      </c>
      <c r="J3" t="s" s="26">
        <v>3</v>
      </c>
      <c r="K3" t="s" s="26">
        <v>29</v>
      </c>
    </row>
    <row r="4" ht="20.25" customHeight="1">
      <c r="B4" s="27">
        <v>2015</v>
      </c>
      <c r="C4" s="28">
        <v>1107</v>
      </c>
      <c r="D4" s="30">
        <v>587</v>
      </c>
      <c r="E4" s="30">
        <v>-1006</v>
      </c>
      <c r="F4" s="30"/>
      <c r="G4" s="30"/>
      <c r="H4" s="30">
        <v>152</v>
      </c>
      <c r="I4" s="30">
        <f>D4+E4</f>
        <v>-419</v>
      </c>
      <c r="J4" s="30"/>
      <c r="K4" s="30">
        <f>-H4</f>
        <v>-152</v>
      </c>
    </row>
    <row r="5" ht="20.05" customHeight="1">
      <c r="B5" s="33"/>
      <c r="C5" s="19">
        <v>976</v>
      </c>
      <c r="D5" s="20">
        <v>-299</v>
      </c>
      <c r="E5" s="20">
        <v>-418</v>
      </c>
      <c r="F5" s="20"/>
      <c r="G5" s="20"/>
      <c r="H5" s="20">
        <v>471</v>
      </c>
      <c r="I5" s="20">
        <f>D5+E5</f>
        <v>-717</v>
      </c>
      <c r="J5" s="20"/>
      <c r="K5" s="20">
        <f>-H5+K4</f>
        <v>-623</v>
      </c>
    </row>
    <row r="6" ht="20.05" customHeight="1">
      <c r="B6" s="33"/>
      <c r="C6" s="19">
        <v>1055</v>
      </c>
      <c r="D6" s="20">
        <v>-156</v>
      </c>
      <c r="E6" s="20">
        <v>-226</v>
      </c>
      <c r="F6" s="20"/>
      <c r="G6" s="20"/>
      <c r="H6" s="20">
        <v>98</v>
      </c>
      <c r="I6" s="20">
        <f>D6+E6</f>
        <v>-382</v>
      </c>
      <c r="J6" s="20"/>
      <c r="K6" s="20">
        <f>-H6+K5</f>
        <v>-721</v>
      </c>
    </row>
    <row r="7" ht="20.05" customHeight="1">
      <c r="B7" s="33"/>
      <c r="C7" s="19">
        <v>2586</v>
      </c>
      <c r="D7" s="20">
        <v>-511</v>
      </c>
      <c r="E7" s="20">
        <v>1207</v>
      </c>
      <c r="F7" s="20"/>
      <c r="G7" s="20"/>
      <c r="H7" s="20">
        <v>-465</v>
      </c>
      <c r="I7" s="20">
        <f>D7+E7</f>
        <v>696</v>
      </c>
      <c r="J7" s="20"/>
      <c r="K7" s="20">
        <f>-H7+K6</f>
        <v>-256</v>
      </c>
    </row>
    <row r="8" ht="20.05" customHeight="1">
      <c r="B8" s="34">
        <v>2016</v>
      </c>
      <c r="C8" s="19">
        <v>1238</v>
      </c>
      <c r="D8" s="20">
        <v>1</v>
      </c>
      <c r="E8" s="20">
        <v>-143</v>
      </c>
      <c r="F8" s="20"/>
      <c r="G8" s="20"/>
      <c r="H8" s="20">
        <v>225</v>
      </c>
      <c r="I8" s="20">
        <f>D8+E8</f>
        <v>-142</v>
      </c>
      <c r="J8" s="20">
        <f>AVERAGE(I5:I8)</f>
        <v>-136.25</v>
      </c>
      <c r="K8" s="20">
        <f>-H8+K7</f>
        <v>-481</v>
      </c>
    </row>
    <row r="9" ht="20.05" customHeight="1">
      <c r="B9" s="33"/>
      <c r="C9" s="19">
        <v>1333</v>
      </c>
      <c r="D9" s="20">
        <v>-81</v>
      </c>
      <c r="E9" s="20">
        <v>-236</v>
      </c>
      <c r="F9" s="20"/>
      <c r="G9" s="20"/>
      <c r="H9" s="20">
        <v>673</v>
      </c>
      <c r="I9" s="20">
        <f>D9+E9</f>
        <v>-317</v>
      </c>
      <c r="J9" s="20">
        <f>AVERAGE(I6:I9)</f>
        <v>-36.25</v>
      </c>
      <c r="K9" s="20">
        <f>-H9+K8</f>
        <v>-1154</v>
      </c>
    </row>
    <row r="10" ht="20.05" customHeight="1">
      <c r="B10" s="33"/>
      <c r="C10" s="19">
        <v>1237</v>
      </c>
      <c r="D10" s="20">
        <v>226</v>
      </c>
      <c r="E10" s="20">
        <v>-175</v>
      </c>
      <c r="F10" s="20"/>
      <c r="G10" s="20"/>
      <c r="H10" s="20">
        <v>46</v>
      </c>
      <c r="I10" s="20">
        <f>D10+E10</f>
        <v>51</v>
      </c>
      <c r="J10" s="20">
        <f>AVERAGE(I7:I10)</f>
        <v>72</v>
      </c>
      <c r="K10" s="20">
        <f>-H10+K9</f>
        <v>-1200</v>
      </c>
    </row>
    <row r="11" ht="20.05" customHeight="1">
      <c r="B11" s="33"/>
      <c r="C11" s="19">
        <v>1352</v>
      </c>
      <c r="D11" s="20">
        <v>-111</v>
      </c>
      <c r="E11" s="20">
        <v>-245</v>
      </c>
      <c r="F11" s="20"/>
      <c r="G11" s="20"/>
      <c r="H11" s="20">
        <v>356</v>
      </c>
      <c r="I11" s="20">
        <f>D11+E11</f>
        <v>-356</v>
      </c>
      <c r="J11" s="20">
        <f>AVERAGE(I8:I11)</f>
        <v>-191</v>
      </c>
      <c r="K11" s="20">
        <f>-H11+K10</f>
        <v>-1556</v>
      </c>
    </row>
    <row r="12" ht="20.05" customHeight="1">
      <c r="B12" s="34">
        <v>2017</v>
      </c>
      <c r="C12" s="19">
        <v>1273</v>
      </c>
      <c r="D12" s="20">
        <v>88.40000000000001</v>
      </c>
      <c r="E12" s="20">
        <v>-111</v>
      </c>
      <c r="F12" s="20"/>
      <c r="G12" s="20"/>
      <c r="H12" s="20">
        <v>54</v>
      </c>
      <c r="I12" s="20">
        <f>D12+E12</f>
        <v>-22.6</v>
      </c>
      <c r="J12" s="20">
        <f>AVERAGE(I9:I12)</f>
        <v>-161.15</v>
      </c>
      <c r="K12" s="20">
        <f>-H12+K11</f>
        <v>-1610</v>
      </c>
    </row>
    <row r="13" ht="20.05" customHeight="1">
      <c r="B13" s="33"/>
      <c r="C13" s="19">
        <v>1374</v>
      </c>
      <c r="D13" s="20">
        <v>-11.4</v>
      </c>
      <c r="E13" s="20">
        <v>-304</v>
      </c>
      <c r="F13" s="20"/>
      <c r="G13" s="20"/>
      <c r="H13" s="20">
        <v>331</v>
      </c>
      <c r="I13" s="20">
        <f>D13+E13</f>
        <v>-315.4</v>
      </c>
      <c r="J13" s="20">
        <f>AVERAGE(I10:I13)</f>
        <v>-160.75</v>
      </c>
      <c r="K13" s="20">
        <f>-H13+K12</f>
        <v>-1941</v>
      </c>
    </row>
    <row r="14" ht="20.05" customHeight="1">
      <c r="B14" s="33"/>
      <c r="C14" s="19">
        <v>1418</v>
      </c>
      <c r="D14" s="20">
        <v>27</v>
      </c>
      <c r="E14" s="20">
        <v>-61</v>
      </c>
      <c r="F14" s="20"/>
      <c r="G14" s="20"/>
      <c r="H14" s="20">
        <v>-413</v>
      </c>
      <c r="I14" s="20">
        <f>D14+E14</f>
        <v>-34</v>
      </c>
      <c r="J14" s="20">
        <f>AVERAGE(I11:I14)</f>
        <v>-182</v>
      </c>
      <c r="K14" s="20">
        <f>-H14+K13</f>
        <v>-1528</v>
      </c>
    </row>
    <row r="15" ht="20.05" customHeight="1">
      <c r="B15" s="33"/>
      <c r="C15" s="19">
        <v>1659</v>
      </c>
      <c r="D15" s="20">
        <v>-483</v>
      </c>
      <c r="E15" s="20">
        <v>33</v>
      </c>
      <c r="F15" s="20"/>
      <c r="G15" s="20"/>
      <c r="H15" s="20">
        <v>284</v>
      </c>
      <c r="I15" s="20">
        <f>D15+E15</f>
        <v>-450</v>
      </c>
      <c r="J15" s="20">
        <f>AVERAGE(I12:I15)</f>
        <v>-205.5</v>
      </c>
      <c r="K15" s="20">
        <f>-H15+K14</f>
        <v>-1812</v>
      </c>
    </row>
    <row r="16" ht="20.05" customHeight="1">
      <c r="B16" s="34">
        <v>2018</v>
      </c>
      <c r="C16" s="19">
        <v>1398</v>
      </c>
      <c r="D16" s="20">
        <v>148</v>
      </c>
      <c r="E16" s="20">
        <v>-142</v>
      </c>
      <c r="F16" s="20"/>
      <c r="G16" s="20"/>
      <c r="H16" s="20">
        <v>-99</v>
      </c>
      <c r="I16" s="20">
        <f>D16+E16</f>
        <v>6</v>
      </c>
      <c r="J16" s="20">
        <f>AVERAGE(I13:I16)</f>
        <v>-198.35</v>
      </c>
      <c r="K16" s="20">
        <f>-H16+K15</f>
        <v>-1713</v>
      </c>
    </row>
    <row r="17" ht="20.05" customHeight="1">
      <c r="B17" s="33"/>
      <c r="C17" s="19">
        <v>1562</v>
      </c>
      <c r="D17" s="20">
        <v>36</v>
      </c>
      <c r="E17" s="20">
        <v>-158</v>
      </c>
      <c r="F17" s="20"/>
      <c r="G17" s="20"/>
      <c r="H17" s="20">
        <v>292</v>
      </c>
      <c r="I17" s="20">
        <f>D17+E17</f>
        <v>-122</v>
      </c>
      <c r="J17" s="20">
        <f>AVERAGE(I14:I17)</f>
        <v>-150</v>
      </c>
      <c r="K17" s="20">
        <f>-H17+K16</f>
        <v>-2005</v>
      </c>
    </row>
    <row r="18" ht="20.05" customHeight="1">
      <c r="B18" s="33"/>
      <c r="C18" s="19">
        <v>1728</v>
      </c>
      <c r="D18" s="20">
        <v>287</v>
      </c>
      <c r="E18" s="20">
        <v>-429</v>
      </c>
      <c r="F18" s="20"/>
      <c r="G18" s="20"/>
      <c r="H18" s="20">
        <v>119</v>
      </c>
      <c r="I18" s="20">
        <f>D18+E18</f>
        <v>-142</v>
      </c>
      <c r="J18" s="20">
        <f>AVERAGE(I15:I18)</f>
        <v>-177</v>
      </c>
      <c r="K18" s="20">
        <f>-H18+K17</f>
        <v>-2124</v>
      </c>
    </row>
    <row r="19" ht="20.05" customHeight="1">
      <c r="B19" s="33"/>
      <c r="C19" s="19">
        <v>1585</v>
      </c>
      <c r="D19" s="20">
        <v>-590</v>
      </c>
      <c r="E19" s="20">
        <v>388</v>
      </c>
      <c r="F19" s="20"/>
      <c r="G19" s="20"/>
      <c r="H19" s="20">
        <v>208</v>
      </c>
      <c r="I19" s="20">
        <f>D19+E19</f>
        <v>-202</v>
      </c>
      <c r="J19" s="20">
        <f>AVERAGE(I16:I19)</f>
        <v>-115</v>
      </c>
      <c r="K19" s="20">
        <f>-H19+K18</f>
        <v>-2332</v>
      </c>
    </row>
    <row r="20" ht="20.05" customHeight="1">
      <c r="B20" s="34">
        <v>2019</v>
      </c>
      <c r="C20" s="19">
        <v>1530.41</v>
      </c>
      <c r="D20" s="20">
        <v>264.9</v>
      </c>
      <c r="E20" s="20">
        <v>-81</v>
      </c>
      <c r="F20" s="20"/>
      <c r="G20" s="20"/>
      <c r="H20" s="20">
        <v>-223</v>
      </c>
      <c r="I20" s="20">
        <f>D20+E20</f>
        <v>183.9</v>
      </c>
      <c r="J20" s="20">
        <f>AVERAGE(I17:I20)</f>
        <v>-70.52500000000001</v>
      </c>
      <c r="K20" s="20">
        <f>-H20+K19</f>
        <v>-2109</v>
      </c>
    </row>
    <row r="21" ht="20.05" customHeight="1">
      <c r="B21" s="33"/>
      <c r="C21" s="19">
        <v>1505.59</v>
      </c>
      <c r="D21" s="20">
        <v>176.1</v>
      </c>
      <c r="E21" s="20">
        <v>-163</v>
      </c>
      <c r="F21" s="20"/>
      <c r="G21" s="20"/>
      <c r="H21" s="20">
        <v>10</v>
      </c>
      <c r="I21" s="20">
        <f>D21+E21</f>
        <v>13.1</v>
      </c>
      <c r="J21" s="20">
        <f>AVERAGE(I18:I21)</f>
        <v>-36.75</v>
      </c>
      <c r="K21" s="20">
        <f>-H21+K20</f>
        <v>-2119</v>
      </c>
    </row>
    <row r="22" ht="20.05" customHeight="1">
      <c r="B22" s="33"/>
      <c r="C22" s="19">
        <v>1563</v>
      </c>
      <c r="D22" s="20">
        <v>183</v>
      </c>
      <c r="E22" s="20">
        <v>-70</v>
      </c>
      <c r="F22" s="20"/>
      <c r="G22" s="20"/>
      <c r="H22" s="20">
        <v>-33</v>
      </c>
      <c r="I22" s="20">
        <f>D22+E22</f>
        <v>113</v>
      </c>
      <c r="J22" s="20">
        <f>AVERAGE(I19:I22)</f>
        <v>27</v>
      </c>
      <c r="K22" s="20">
        <f>-H22+K21</f>
        <v>-2086</v>
      </c>
    </row>
    <row r="23" ht="20.05" customHeight="1">
      <c r="B23" s="33"/>
      <c r="C23" s="19">
        <v>1308</v>
      </c>
      <c r="D23" s="20">
        <v>-119</v>
      </c>
      <c r="E23" s="20">
        <v>-267</v>
      </c>
      <c r="F23" s="20"/>
      <c r="G23" s="20"/>
      <c r="H23" s="20">
        <v>463</v>
      </c>
      <c r="I23" s="20">
        <f>D23+E23</f>
        <v>-386</v>
      </c>
      <c r="J23" s="20">
        <f>AVERAGE(I20:I23)</f>
        <v>-19</v>
      </c>
      <c r="K23" s="20">
        <f>-H23+K22</f>
        <v>-2549</v>
      </c>
    </row>
    <row r="24" ht="20.05" customHeight="1">
      <c r="B24" s="34">
        <v>2020</v>
      </c>
      <c r="C24" s="19">
        <v>1216.82</v>
      </c>
      <c r="D24" s="20">
        <v>48.65</v>
      </c>
      <c r="E24" s="20">
        <v>-109.7</v>
      </c>
      <c r="F24" s="20"/>
      <c r="G24" s="20"/>
      <c r="H24" s="20">
        <v>952.1900000000001</v>
      </c>
      <c r="I24" s="20">
        <f>D24+E24</f>
        <v>-61.05</v>
      </c>
      <c r="J24" s="20">
        <f>AVERAGE(I21:I24)</f>
        <v>-80.2375</v>
      </c>
      <c r="K24" s="20">
        <f>-H24+K23</f>
        <v>-3501.19</v>
      </c>
    </row>
    <row r="25" ht="20.05" customHeight="1">
      <c r="B25" s="33"/>
      <c r="C25" s="19">
        <v>758.1799999999999</v>
      </c>
      <c r="D25" s="20">
        <v>-355.65</v>
      </c>
      <c r="E25" s="20">
        <v>-113.3</v>
      </c>
      <c r="F25" s="20"/>
      <c r="G25" s="20"/>
      <c r="H25" s="20">
        <v>494.81</v>
      </c>
      <c r="I25" s="20">
        <f>D25+E25</f>
        <v>-468.95</v>
      </c>
      <c r="J25" s="20">
        <f>AVERAGE(I22:I25)</f>
        <v>-200.75</v>
      </c>
      <c r="K25" s="20">
        <f>-H25+K24</f>
        <v>-3996</v>
      </c>
    </row>
    <row r="26" ht="20.05" customHeight="1">
      <c r="B26" s="33"/>
      <c r="C26" s="19">
        <f>2909.06-SUM(C24:C25)</f>
        <v>934.0599999999999</v>
      </c>
      <c r="D26" s="20">
        <f>-255.287-SUM(D24:D25)</f>
        <v>51.713</v>
      </c>
      <c r="E26" s="20">
        <f>-400-SUM(E24:E25)</f>
        <v>-177</v>
      </c>
      <c r="F26" s="20"/>
      <c r="G26" s="20"/>
      <c r="H26" s="20">
        <f>775.214-SUM(H24:H25)</f>
        <v>-671.7859999999999</v>
      </c>
      <c r="I26" s="20">
        <f>D26+E26</f>
        <v>-125.287</v>
      </c>
      <c r="J26" s="20">
        <f>AVERAGE(I23:I26)</f>
        <v>-260.32175</v>
      </c>
      <c r="K26" s="20">
        <f>-H26+K25</f>
        <v>-3324.214</v>
      </c>
    </row>
    <row r="27" ht="20.05" customHeight="1">
      <c r="B27" s="33"/>
      <c r="C27" s="19">
        <v>1919.94</v>
      </c>
      <c r="D27" s="20">
        <v>232.387</v>
      </c>
      <c r="E27" s="20">
        <v>-79.40000000000001</v>
      </c>
      <c r="F27" s="20"/>
      <c r="G27" s="20"/>
      <c r="H27" s="20">
        <v>-281.214</v>
      </c>
      <c r="I27" s="20">
        <f>D27+E27</f>
        <v>152.987</v>
      </c>
      <c r="J27" s="20">
        <f>AVERAGE(I24:I27)</f>
        <v>-125.575</v>
      </c>
      <c r="K27" s="20">
        <f>-H27+K26</f>
        <v>-3043</v>
      </c>
    </row>
    <row r="28" ht="20.05" customHeight="1">
      <c r="B28" s="34">
        <v>2021</v>
      </c>
      <c r="C28" s="19">
        <v>1373.5</v>
      </c>
      <c r="D28" s="20">
        <v>412.8</v>
      </c>
      <c r="E28" s="20">
        <v>-89.2</v>
      </c>
      <c r="F28" s="20">
        <f>-65.54-G28</f>
        <v>-23.89</v>
      </c>
      <c r="G28" s="20">
        <v>-41.65</v>
      </c>
      <c r="H28" s="20">
        <f>-64.5</f>
        <v>-64.5</v>
      </c>
      <c r="I28" s="20">
        <f>D28+E28</f>
        <v>323.6</v>
      </c>
      <c r="J28" s="20">
        <f>AVERAGE(I25:I28)</f>
        <v>-29.4125</v>
      </c>
      <c r="K28" s="20">
        <f>-H28+K27</f>
        <v>-2978.5</v>
      </c>
    </row>
    <row r="29" ht="20.05" customHeight="1">
      <c r="B29" s="33"/>
      <c r="C29" s="19">
        <f>3073.2-C28</f>
        <v>1699.7</v>
      </c>
      <c r="D29" s="20">
        <f>1021.9-D28</f>
        <v>609.1</v>
      </c>
      <c r="E29" s="20">
        <f>-222.5-E28</f>
        <v>-133.3</v>
      </c>
      <c r="F29" s="20">
        <f>386.573-G29-F28-G28</f>
        <v>-1046.787</v>
      </c>
      <c r="G29" s="20">
        <f>1498.9-41.65-G28</f>
        <v>1498.9</v>
      </c>
      <c r="H29" s="20">
        <f>386.6-H28</f>
        <v>451.1</v>
      </c>
      <c r="I29" s="20">
        <f>D29+E29</f>
        <v>475.8</v>
      </c>
      <c r="J29" s="20">
        <f>AVERAGE(I26:I29)</f>
        <v>206.775</v>
      </c>
      <c r="K29" s="20">
        <f>-H29+K28</f>
        <v>-3429.6</v>
      </c>
    </row>
    <row r="30" ht="20.05" customHeight="1">
      <c r="B30" s="33"/>
      <c r="C30" s="19">
        <f>4438.5-SUM(C28:C29)</f>
        <v>1365.3</v>
      </c>
      <c r="D30" s="20">
        <f>1406.8-SUM(D28:D29)</f>
        <v>384.9</v>
      </c>
      <c r="E30" s="20">
        <f>-333.2-SUM(E28:E29)</f>
        <v>-110.7</v>
      </c>
      <c r="F30" s="20">
        <f>-643.85-F29-F28-G30-G29-G28</f>
        <v>-963.883</v>
      </c>
      <c r="G30" s="20">
        <f>1492.385-101.675-G29-G28</f>
        <v>-66.54000000000001</v>
      </c>
      <c r="H30" s="20">
        <f>-643.8-SUM(H28:H29)</f>
        <v>-1030.4</v>
      </c>
      <c r="I30" s="20">
        <f>D30+E30</f>
        <v>274.2</v>
      </c>
      <c r="J30" s="20">
        <f>AVERAGE(I27:I30)</f>
        <v>306.64675</v>
      </c>
      <c r="K30" s="20">
        <f>-H30+K29</f>
        <v>-2399.2</v>
      </c>
    </row>
    <row r="31" ht="20.05" customHeight="1">
      <c r="B31" s="33"/>
      <c r="C31" s="19"/>
      <c r="D31" s="20"/>
      <c r="E31" s="20"/>
      <c r="F31" s="20"/>
      <c r="G31" s="20"/>
      <c r="H31" s="20"/>
      <c r="I31" s="20"/>
      <c r="J31" s="20">
        <f>SUM('Model'!F9:F10)</f>
        <v>194.322951128770</v>
      </c>
      <c r="K31" s="20">
        <f>'Model'!F32</f>
        <v>-1719.963465156460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7" customWidth="1"/>
    <col min="2" max="2" width="7.67969" style="37" customWidth="1"/>
    <col min="3" max="11" width="9.98438" style="37" customWidth="1"/>
    <col min="12" max="16384" width="16.3516" style="37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6">
        <v>1</v>
      </c>
      <c r="C3" t="s" s="26">
        <v>49</v>
      </c>
      <c r="D3" t="s" s="26">
        <v>50</v>
      </c>
      <c r="E3" t="s" s="26">
        <v>51</v>
      </c>
      <c r="F3" t="s" s="26">
        <v>23</v>
      </c>
      <c r="G3" t="s" s="26">
        <v>11</v>
      </c>
      <c r="H3" t="s" s="26">
        <v>25</v>
      </c>
      <c r="I3" t="s" s="26">
        <v>52</v>
      </c>
      <c r="J3" t="s" s="26">
        <v>53</v>
      </c>
      <c r="K3" t="s" s="26">
        <v>34</v>
      </c>
    </row>
    <row r="4" ht="20.25" customHeight="1">
      <c r="B4" s="27">
        <v>2015</v>
      </c>
      <c r="C4" s="28">
        <v>1407</v>
      </c>
      <c r="D4" s="30">
        <v>16217</v>
      </c>
      <c r="E4" s="30">
        <f>D4-C4</f>
        <v>14810</v>
      </c>
      <c r="F4" s="30"/>
      <c r="G4" s="30">
        <v>9760</v>
      </c>
      <c r="H4" s="30">
        <v>6457</v>
      </c>
      <c r="I4" s="30">
        <f>G4+H4-C4-E4</f>
        <v>0</v>
      </c>
      <c r="J4" s="30">
        <f>C4-G4</f>
        <v>-8353</v>
      </c>
      <c r="K4" s="30"/>
    </row>
    <row r="5" ht="20.05" customHeight="1">
      <c r="B5" s="33"/>
      <c r="C5" s="19">
        <v>1257</v>
      </c>
      <c r="D5" s="20">
        <v>17172</v>
      </c>
      <c r="E5" s="20">
        <f>D5-C5</f>
        <v>15915</v>
      </c>
      <c r="F5" s="20"/>
      <c r="G5" s="20">
        <v>10316</v>
      </c>
      <c r="H5" s="20">
        <v>6856</v>
      </c>
      <c r="I5" s="20">
        <f>G5+H5-C5-E5</f>
        <v>0</v>
      </c>
      <c r="J5" s="20">
        <f>C5-G5</f>
        <v>-9059</v>
      </c>
      <c r="K5" s="20"/>
    </row>
    <row r="6" ht="20.05" customHeight="1">
      <c r="B6" s="33"/>
      <c r="C6" s="19">
        <v>975</v>
      </c>
      <c r="D6" s="20">
        <v>18006</v>
      </c>
      <c r="E6" s="20">
        <f>D6-C6</f>
        <v>17031</v>
      </c>
      <c r="F6" s="20"/>
      <c r="G6" s="20">
        <v>10690</v>
      </c>
      <c r="H6" s="20">
        <v>7316</v>
      </c>
      <c r="I6" s="20">
        <f>G6+H6-C6-E6</f>
        <v>0</v>
      </c>
      <c r="J6" s="20">
        <f>C6-G6</f>
        <v>-9715</v>
      </c>
      <c r="K6" s="20"/>
    </row>
    <row r="7" ht="20.05" customHeight="1">
      <c r="B7" s="33"/>
      <c r="C7" s="19">
        <v>1504</v>
      </c>
      <c r="D7" s="20">
        <v>18759</v>
      </c>
      <c r="E7" s="20">
        <f>D7-C7</f>
        <v>17255</v>
      </c>
      <c r="F7" s="20"/>
      <c r="G7" s="20">
        <v>11229</v>
      </c>
      <c r="H7" s="20">
        <v>7530</v>
      </c>
      <c r="I7" s="20">
        <f>G7+H7-C7-E7</f>
        <v>0</v>
      </c>
      <c r="J7" s="20">
        <f>C7-G7</f>
        <v>-9725</v>
      </c>
      <c r="K7" s="20"/>
    </row>
    <row r="8" ht="20.05" customHeight="1">
      <c r="B8" s="34">
        <v>2016</v>
      </c>
      <c r="C8" s="19">
        <v>1586</v>
      </c>
      <c r="D8" s="20">
        <v>19531</v>
      </c>
      <c r="E8" s="20">
        <f>D8-C8</f>
        <v>17945</v>
      </c>
      <c r="F8" s="20"/>
      <c r="G8" s="20">
        <v>11928</v>
      </c>
      <c r="H8" s="20">
        <v>7603</v>
      </c>
      <c r="I8" s="20">
        <f>G8+H8-C8-E8</f>
        <v>0</v>
      </c>
      <c r="J8" s="20">
        <f>C8-G8</f>
        <v>-10342</v>
      </c>
      <c r="K8" s="20"/>
    </row>
    <row r="9" ht="20.05" customHeight="1">
      <c r="B9" s="33"/>
      <c r="C9" s="19">
        <v>1943</v>
      </c>
      <c r="D9" s="20">
        <v>19751</v>
      </c>
      <c r="E9" s="20">
        <f>D9-C9</f>
        <v>17808</v>
      </c>
      <c r="F9" s="20"/>
      <c r="G9" s="20">
        <v>12167</v>
      </c>
      <c r="H9" s="20">
        <v>7585</v>
      </c>
      <c r="I9" s="20">
        <f>G9+H9-C9-E9</f>
        <v>1</v>
      </c>
      <c r="J9" s="20">
        <f>C9-G9</f>
        <v>-10224</v>
      </c>
      <c r="K9" s="20"/>
    </row>
    <row r="10" ht="20.05" customHeight="1">
      <c r="B10" s="33"/>
      <c r="C10" s="19">
        <v>2039</v>
      </c>
      <c r="D10" s="20">
        <v>19880</v>
      </c>
      <c r="E10" s="20">
        <f>D10-C10</f>
        <v>17841</v>
      </c>
      <c r="F10" s="20"/>
      <c r="G10" s="20">
        <v>12167</v>
      </c>
      <c r="H10" s="20">
        <v>7713</v>
      </c>
      <c r="I10" s="20">
        <f>G10+H10-C10-E10</f>
        <v>0</v>
      </c>
      <c r="J10" s="20">
        <f>C10-G10</f>
        <v>-10128</v>
      </c>
      <c r="K10" s="20"/>
    </row>
    <row r="11" ht="20.05" customHeight="1">
      <c r="B11" s="33"/>
      <c r="C11" s="19">
        <v>2039</v>
      </c>
      <c r="D11" s="20">
        <v>20810</v>
      </c>
      <c r="E11" s="20">
        <f>D11-C11</f>
        <v>18771</v>
      </c>
      <c r="F11" s="20"/>
      <c r="G11" s="20">
        <v>12644</v>
      </c>
      <c r="H11" s="20">
        <v>8166</v>
      </c>
      <c r="I11" s="20">
        <f>G11+H11-C11-E11</f>
        <v>0</v>
      </c>
      <c r="J11" s="20">
        <f>C11-G11</f>
        <v>-10605</v>
      </c>
      <c r="K11" s="20"/>
    </row>
    <row r="12" ht="20.05" customHeight="1">
      <c r="B12" s="34">
        <v>2017</v>
      </c>
      <c r="C12" s="19">
        <v>2107</v>
      </c>
      <c r="D12" s="20">
        <v>21004</v>
      </c>
      <c r="E12" s="20">
        <f>D12-C12</f>
        <v>18897</v>
      </c>
      <c r="F12" s="20"/>
      <c r="G12" s="20">
        <v>12733</v>
      </c>
      <c r="H12" s="20">
        <v>8270</v>
      </c>
      <c r="I12" s="20">
        <f>G12+H12-C12-E12</f>
        <v>-1</v>
      </c>
      <c r="J12" s="20">
        <f>C12-G12</f>
        <v>-10626</v>
      </c>
      <c r="K12" s="20"/>
    </row>
    <row r="13" ht="20.05" customHeight="1">
      <c r="B13" s="33"/>
      <c r="C13" s="19">
        <v>2112</v>
      </c>
      <c r="D13" s="20">
        <v>21205</v>
      </c>
      <c r="E13" s="20">
        <f>D13-C13</f>
        <v>19093</v>
      </c>
      <c r="F13" s="20"/>
      <c r="G13" s="20">
        <v>12991</v>
      </c>
      <c r="H13" s="20">
        <v>8214</v>
      </c>
      <c r="I13" s="20">
        <f>G13+H13-C13-E13</f>
        <v>0</v>
      </c>
      <c r="J13" s="20">
        <f>C13-G13</f>
        <v>-10879</v>
      </c>
      <c r="K13" s="20"/>
    </row>
    <row r="14" ht="20.05" customHeight="1">
      <c r="B14" s="33"/>
      <c r="C14" s="19">
        <v>1676</v>
      </c>
      <c r="D14" s="20">
        <v>20987</v>
      </c>
      <c r="E14" s="20">
        <f>D14-C14</f>
        <v>19311</v>
      </c>
      <c r="F14" s="20"/>
      <c r="G14" s="20">
        <v>12730</v>
      </c>
      <c r="H14" s="20">
        <v>8257</v>
      </c>
      <c r="I14" s="20">
        <f>G14+H14-C14-E14</f>
        <v>0</v>
      </c>
      <c r="J14" s="20">
        <f>C14-G14</f>
        <v>-11054</v>
      </c>
      <c r="K14" s="20"/>
    </row>
    <row r="15" ht="20.05" customHeight="1">
      <c r="B15" s="33"/>
      <c r="C15" s="19">
        <v>1482</v>
      </c>
      <c r="D15" s="20">
        <v>21663</v>
      </c>
      <c r="E15" s="20">
        <f>D15-C15</f>
        <v>20181</v>
      </c>
      <c r="F15" s="20"/>
      <c r="G15" s="20">
        <v>13309</v>
      </c>
      <c r="H15" s="20">
        <v>8354</v>
      </c>
      <c r="I15" s="20">
        <f>G15+H15-C15-E15</f>
        <v>0</v>
      </c>
      <c r="J15" s="20">
        <f>C15-G15</f>
        <v>-11827</v>
      </c>
      <c r="K15" s="20"/>
    </row>
    <row r="16" ht="20.05" customHeight="1">
      <c r="B16" s="34">
        <v>2018</v>
      </c>
      <c r="C16" s="19">
        <v>1390</v>
      </c>
      <c r="D16" s="20">
        <v>21737</v>
      </c>
      <c r="E16" s="20">
        <f>D16-C16</f>
        <v>20347</v>
      </c>
      <c r="F16" s="20"/>
      <c r="G16" s="20">
        <v>13384</v>
      </c>
      <c r="H16" s="20">
        <v>8354</v>
      </c>
      <c r="I16" s="20">
        <f>G16+H16-C16-E16</f>
        <v>1</v>
      </c>
      <c r="J16" s="20">
        <f>C16-G16</f>
        <v>-11994</v>
      </c>
      <c r="K16" s="20"/>
    </row>
    <row r="17" ht="20.05" customHeight="1">
      <c r="B17" s="33"/>
      <c r="C17" s="19">
        <v>1560</v>
      </c>
      <c r="D17" s="20">
        <v>23034</v>
      </c>
      <c r="E17" s="20">
        <f>D17-C17</f>
        <v>21474</v>
      </c>
      <c r="F17" s="20"/>
      <c r="G17" s="20">
        <v>14622</v>
      </c>
      <c r="H17" s="20">
        <v>8412</v>
      </c>
      <c r="I17" s="20">
        <f>G17+H17-C17-E17</f>
        <v>0</v>
      </c>
      <c r="J17" s="20">
        <f>C17-G17</f>
        <v>-13062</v>
      </c>
      <c r="K17" s="20"/>
    </row>
    <row r="18" ht="20.05" customHeight="1">
      <c r="B18" s="33"/>
      <c r="C18" s="19">
        <v>1537</v>
      </c>
      <c r="D18" s="20">
        <v>22908</v>
      </c>
      <c r="E18" s="20">
        <f>D18-C18</f>
        <v>21371</v>
      </c>
      <c r="F18" s="20"/>
      <c r="G18" s="20">
        <v>14211</v>
      </c>
      <c r="H18" s="20">
        <v>8697</v>
      </c>
      <c r="I18" s="20">
        <f>G18+H18-C18-E18</f>
        <v>0</v>
      </c>
      <c r="J18" s="20">
        <f>C18-G18</f>
        <v>-12674</v>
      </c>
      <c r="K18" s="20"/>
    </row>
    <row r="19" ht="20.05" customHeight="1">
      <c r="B19" s="33"/>
      <c r="C19" s="19">
        <v>1534</v>
      </c>
      <c r="D19" s="20">
        <v>23299</v>
      </c>
      <c r="E19" s="20">
        <f>D19-C19</f>
        <v>21765</v>
      </c>
      <c r="F19" s="20"/>
      <c r="G19" s="20">
        <v>14238</v>
      </c>
      <c r="H19" s="20">
        <v>9061</v>
      </c>
      <c r="I19" s="20">
        <f>G19+H19-C19-E19</f>
        <v>0</v>
      </c>
      <c r="J19" s="20">
        <f>C19-G19</f>
        <v>-12704</v>
      </c>
      <c r="K19" s="20"/>
    </row>
    <row r="20" ht="20.05" customHeight="1">
      <c r="B20" s="34">
        <v>2019</v>
      </c>
      <c r="C20" s="19">
        <v>1505</v>
      </c>
      <c r="D20" s="20">
        <v>23917</v>
      </c>
      <c r="E20" s="20">
        <f>D20-C20</f>
        <v>22412</v>
      </c>
      <c r="F20" s="20"/>
      <c r="G20" s="20">
        <v>14760</v>
      </c>
      <c r="H20" s="20">
        <v>9157</v>
      </c>
      <c r="I20" s="20">
        <f>G20+H20-C20-E20</f>
        <v>0</v>
      </c>
      <c r="J20" s="20">
        <f>C20-G20</f>
        <v>-13255</v>
      </c>
      <c r="K20" s="20"/>
    </row>
    <row r="21" ht="20.05" customHeight="1">
      <c r="B21" s="33"/>
      <c r="C21" s="19">
        <v>1517</v>
      </c>
      <c r="D21" s="20">
        <v>23947</v>
      </c>
      <c r="E21" s="20">
        <f>D21-C21</f>
        <v>22430</v>
      </c>
      <c r="F21" s="20"/>
      <c r="G21" s="20">
        <v>14746</v>
      </c>
      <c r="H21" s="20">
        <v>9201</v>
      </c>
      <c r="I21" s="20">
        <f>G21+H21-C21-E21</f>
        <v>0</v>
      </c>
      <c r="J21" s="20">
        <f>C21-G21</f>
        <v>-13229</v>
      </c>
      <c r="K21" s="20"/>
    </row>
    <row r="22" ht="20.05" customHeight="1">
      <c r="B22" s="33"/>
      <c r="C22" s="19">
        <v>1597</v>
      </c>
      <c r="D22" s="20">
        <v>23880</v>
      </c>
      <c r="E22" s="20">
        <f>D22-C22</f>
        <v>22283</v>
      </c>
      <c r="F22" s="20"/>
      <c r="G22" s="20">
        <v>14639</v>
      </c>
      <c r="H22" s="20">
        <v>9241</v>
      </c>
      <c r="I22" s="20">
        <f>G22+H22-C22-E22</f>
        <v>0</v>
      </c>
      <c r="J22" s="20">
        <f>C22-G22</f>
        <v>-13042</v>
      </c>
      <c r="K22" s="20"/>
    </row>
    <row r="23" ht="20.05" customHeight="1">
      <c r="B23" s="33"/>
      <c r="C23" s="19">
        <v>1664</v>
      </c>
      <c r="D23" s="20">
        <v>24442</v>
      </c>
      <c r="E23" s="20">
        <f>D23-C23</f>
        <v>22778</v>
      </c>
      <c r="F23" s="20"/>
      <c r="G23" s="20">
        <v>14990</v>
      </c>
      <c r="H23" s="20">
        <v>9452</v>
      </c>
      <c r="I23" s="20">
        <f>G23+H23-C23-E23</f>
        <v>0</v>
      </c>
      <c r="J23" s="20">
        <f>C23-G23</f>
        <v>-13326</v>
      </c>
      <c r="K23" s="20"/>
    </row>
    <row r="24" ht="20.05" customHeight="1">
      <c r="B24" s="34">
        <v>2020</v>
      </c>
      <c r="C24" s="19">
        <v>2556</v>
      </c>
      <c r="D24" s="20">
        <v>25769</v>
      </c>
      <c r="E24" s="20">
        <f>D24-C24</f>
        <v>23213</v>
      </c>
      <c r="F24" s="20"/>
      <c r="G24" s="20">
        <v>16438</v>
      </c>
      <c r="H24" s="20">
        <v>9331</v>
      </c>
      <c r="I24" s="20">
        <f>G24+H24-C24-E24</f>
        <v>0</v>
      </c>
      <c r="J24" s="20">
        <f>C24-G24</f>
        <v>-13882</v>
      </c>
      <c r="K24" s="20"/>
    </row>
    <row r="25" ht="20.05" customHeight="1">
      <c r="B25" s="33"/>
      <c r="C25" s="19">
        <v>2580</v>
      </c>
      <c r="D25" s="20">
        <v>25752</v>
      </c>
      <c r="E25" s="20">
        <f>D25-C25</f>
        <v>23172</v>
      </c>
      <c r="F25" s="20"/>
      <c r="G25" s="20">
        <v>16408</v>
      </c>
      <c r="H25" s="20">
        <v>9343</v>
      </c>
      <c r="I25" s="20">
        <f>G25+H25-C25-E25</f>
        <v>-1</v>
      </c>
      <c r="J25" s="20">
        <f>C25-G25</f>
        <v>-13828</v>
      </c>
      <c r="K25" s="20"/>
    </row>
    <row r="26" ht="20.05" customHeight="1">
      <c r="B26" s="33"/>
      <c r="C26" s="19">
        <v>1784</v>
      </c>
      <c r="D26" s="20">
        <v>24927</v>
      </c>
      <c r="E26" s="20">
        <f>D26-C26</f>
        <v>23143</v>
      </c>
      <c r="F26" s="20"/>
      <c r="G26" s="20">
        <v>15638</v>
      </c>
      <c r="H26" s="20">
        <v>9289</v>
      </c>
      <c r="I26" s="20">
        <f>G26+H26-C26-E26</f>
        <v>0</v>
      </c>
      <c r="J26" s="20">
        <f>C26-G26</f>
        <v>-13854</v>
      </c>
      <c r="K26" s="20"/>
    </row>
    <row r="27" ht="20.05" customHeight="1">
      <c r="B27" s="33"/>
      <c r="C27" s="19">
        <v>1656</v>
      </c>
      <c r="D27" s="20">
        <v>24923</v>
      </c>
      <c r="E27" s="20">
        <f>D27-C27</f>
        <v>23267</v>
      </c>
      <c r="F27" s="20">
        <v>2639.8</v>
      </c>
      <c r="G27" s="20">
        <v>15837</v>
      </c>
      <c r="H27" s="20">
        <v>9086</v>
      </c>
      <c r="I27" s="20">
        <f>G27+H27-C27-E27</f>
        <v>0</v>
      </c>
      <c r="J27" s="20">
        <f>C27-G27</f>
        <v>-14181</v>
      </c>
      <c r="K27" s="20"/>
    </row>
    <row r="28" ht="20.05" customHeight="1">
      <c r="B28" s="34">
        <v>2021</v>
      </c>
      <c r="C28" s="19">
        <v>1916</v>
      </c>
      <c r="D28" s="20">
        <v>25565</v>
      </c>
      <c r="E28" s="20">
        <f>D28-C28</f>
        <v>23649</v>
      </c>
      <c r="F28" s="20">
        <f>1930+765</f>
        <v>2695</v>
      </c>
      <c r="G28" s="20">
        <v>16488</v>
      </c>
      <c r="H28" s="20">
        <v>9077</v>
      </c>
      <c r="I28" s="20">
        <f>G28+H28-C28-E28</f>
        <v>0</v>
      </c>
      <c r="J28" s="20">
        <f>C28-G28</f>
        <v>-14572</v>
      </c>
      <c r="K28" s="20"/>
    </row>
    <row r="29" ht="20.05" customHeight="1">
      <c r="B29" s="33"/>
      <c r="C29" s="19">
        <v>2842</v>
      </c>
      <c r="D29" s="20">
        <v>26533</v>
      </c>
      <c r="E29" s="20">
        <f>D29-C29</f>
        <v>23691</v>
      </c>
      <c r="F29" s="20">
        <f>1982+782</f>
        <v>2764</v>
      </c>
      <c r="G29" s="20">
        <v>17400</v>
      </c>
      <c r="H29" s="20">
        <v>9133</v>
      </c>
      <c r="I29" s="20">
        <f>G29+H29-C29-E29</f>
        <v>0</v>
      </c>
      <c r="J29" s="20">
        <f>C29-G29</f>
        <v>-14558</v>
      </c>
      <c r="K29" s="20"/>
    </row>
    <row r="30" ht="20.05" customHeight="1">
      <c r="B30" s="33"/>
      <c r="C30" s="19">
        <v>2086</v>
      </c>
      <c r="D30" s="20">
        <v>25446</v>
      </c>
      <c r="E30" s="20">
        <f>D30-C30</f>
        <v>23360</v>
      </c>
      <c r="F30" s="20">
        <f>2046+782</f>
        <v>2828</v>
      </c>
      <c r="G30" s="20">
        <v>14800</v>
      </c>
      <c r="H30" s="20">
        <v>10646</v>
      </c>
      <c r="I30" s="20">
        <f>G30+H30-C30-E30</f>
        <v>0</v>
      </c>
      <c r="J30" s="20">
        <f>C30-G30</f>
        <v>-12714</v>
      </c>
      <c r="K30" s="20">
        <f>J30</f>
        <v>-12714</v>
      </c>
    </row>
    <row r="31" ht="20.05" customHeight="1">
      <c r="B31" s="33"/>
      <c r="C31" s="19"/>
      <c r="D31" s="20"/>
      <c r="E31" s="20"/>
      <c r="F31" s="20"/>
      <c r="G31" s="20"/>
      <c r="H31" s="20"/>
      <c r="I31" s="20"/>
      <c r="J31" s="20"/>
      <c r="K31" s="20">
        <f>'Model'!F30</f>
        <v>-12034.7634651565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10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8" customWidth="1"/>
    <col min="2" max="4" width="11.0547" style="38" customWidth="1"/>
    <col min="5" max="16384" width="16.3516" style="38" customWidth="1"/>
  </cols>
  <sheetData>
    <row r="1" ht="40" customHeight="1"/>
    <row r="2" ht="27.65" customHeight="1">
      <c r="B2" t="s" s="2">
        <v>54</v>
      </c>
      <c r="C2" s="2"/>
      <c r="D2" s="2"/>
    </row>
    <row r="3" ht="20.25" customHeight="1">
      <c r="B3" s="5"/>
      <c r="C3" t="s" s="4">
        <v>55</v>
      </c>
      <c r="D3" t="s" s="4">
        <v>37</v>
      </c>
    </row>
    <row r="4" ht="8.75" customHeight="1" hidden="1">
      <c r="B4" s="39">
        <v>2007</v>
      </c>
      <c r="C4" s="40">
        <v>298</v>
      </c>
      <c r="D4" s="41"/>
    </row>
    <row r="5" ht="8.75" customHeight="1" hidden="1">
      <c r="B5" s="42"/>
      <c r="C5" s="40">
        <v>317</v>
      </c>
      <c r="D5" s="41"/>
    </row>
    <row r="6" ht="8.75" customHeight="1" hidden="1">
      <c r="B6" s="42"/>
      <c r="C6" s="40">
        <v>261</v>
      </c>
      <c r="D6" s="41"/>
    </row>
    <row r="7" ht="8.75" customHeight="1" hidden="1">
      <c r="B7" s="42"/>
      <c r="C7" s="40">
        <v>277</v>
      </c>
      <c r="D7" s="41"/>
    </row>
    <row r="8" ht="8.75" customHeight="1" hidden="1">
      <c r="B8" s="42"/>
      <c r="C8" s="40">
        <v>366</v>
      </c>
      <c r="D8" s="41"/>
    </row>
    <row r="9" ht="8.75" customHeight="1" hidden="1">
      <c r="B9" s="42"/>
      <c r="C9" s="40">
        <v>315</v>
      </c>
      <c r="D9" s="41"/>
    </row>
    <row r="10" ht="8.75" customHeight="1" hidden="1">
      <c r="B10" s="42"/>
      <c r="C10" s="40">
        <v>383</v>
      </c>
      <c r="D10" s="41"/>
    </row>
    <row r="11" ht="8.75" customHeight="1" hidden="1">
      <c r="B11" s="42"/>
      <c r="C11" s="40">
        <v>358</v>
      </c>
      <c r="D11" s="41"/>
    </row>
    <row r="12" ht="8.75" customHeight="1" hidden="1">
      <c r="B12" s="42"/>
      <c r="C12" s="40">
        <v>353</v>
      </c>
      <c r="D12" s="41"/>
    </row>
    <row r="13" ht="8.75" customHeight="1" hidden="1">
      <c r="B13" s="42"/>
      <c r="C13" s="40">
        <v>338</v>
      </c>
      <c r="D13" s="41"/>
    </row>
    <row r="14" ht="8.75" customHeight="1" hidden="1">
      <c r="B14" s="42"/>
      <c r="C14" s="40">
        <v>270</v>
      </c>
      <c r="D14" s="41"/>
    </row>
    <row r="15" ht="8.75" customHeight="1" hidden="1">
      <c r="B15" s="42"/>
      <c r="C15" s="40">
        <v>293</v>
      </c>
      <c r="D15" s="41"/>
    </row>
    <row r="16" ht="8.75" customHeight="1" hidden="1">
      <c r="B16" s="39">
        <v>2008</v>
      </c>
      <c r="C16" s="40">
        <v>278</v>
      </c>
      <c r="D16" s="41"/>
    </row>
    <row r="17" ht="8.75" customHeight="1" hidden="1">
      <c r="B17" s="42"/>
      <c r="C17" s="40">
        <v>225</v>
      </c>
      <c r="D17" s="41"/>
    </row>
    <row r="18" ht="8.75" customHeight="1" hidden="1">
      <c r="B18" s="42"/>
      <c r="C18" s="40">
        <v>168</v>
      </c>
      <c r="D18" s="41"/>
    </row>
    <row r="19" ht="8.75" customHeight="1" hidden="1">
      <c r="B19" s="42"/>
      <c r="C19" s="40">
        <v>155</v>
      </c>
      <c r="D19" s="41"/>
    </row>
    <row r="20" ht="8.75" customHeight="1" hidden="1">
      <c r="B20" s="42"/>
      <c r="C20" s="40">
        <v>168</v>
      </c>
      <c r="D20" s="41"/>
    </row>
    <row r="21" ht="8.75" customHeight="1" hidden="1">
      <c r="B21" s="42"/>
      <c r="C21" s="40">
        <v>130</v>
      </c>
      <c r="D21" s="41"/>
    </row>
    <row r="22" ht="8.75" customHeight="1" hidden="1">
      <c r="B22" s="42"/>
      <c r="C22" s="40">
        <v>185</v>
      </c>
      <c r="D22" s="41"/>
    </row>
    <row r="23" ht="8.75" customHeight="1" hidden="1">
      <c r="B23" s="42"/>
      <c r="C23" s="40">
        <v>165</v>
      </c>
      <c r="D23" s="41"/>
    </row>
    <row r="24" ht="8.75" customHeight="1" hidden="1">
      <c r="B24" s="42"/>
      <c r="C24" s="40">
        <v>143</v>
      </c>
      <c r="D24" s="41"/>
    </row>
    <row r="25" ht="8.75" customHeight="1" hidden="1">
      <c r="B25" s="42"/>
      <c r="C25" s="40">
        <v>103</v>
      </c>
      <c r="D25" s="41"/>
    </row>
    <row r="26" ht="8.75" customHeight="1" hidden="1">
      <c r="B26" s="42"/>
      <c r="C26" s="40">
        <v>100</v>
      </c>
      <c r="D26" s="41"/>
    </row>
    <row r="27" ht="8.75" customHeight="1" hidden="1">
      <c r="B27" s="42"/>
      <c r="C27" s="40">
        <v>83</v>
      </c>
      <c r="D27" s="41"/>
    </row>
    <row r="28" ht="8.75" customHeight="1" hidden="1">
      <c r="B28" s="39">
        <v>2009</v>
      </c>
      <c r="C28" s="40">
        <v>80</v>
      </c>
      <c r="D28" s="41"/>
    </row>
    <row r="29" ht="8.75" customHeight="1" hidden="1">
      <c r="B29" s="42"/>
      <c r="C29" s="40">
        <v>82</v>
      </c>
      <c r="D29" s="41"/>
    </row>
    <row r="30" ht="8.75" customHeight="1" hidden="1">
      <c r="B30" s="42"/>
      <c r="C30" s="40">
        <v>96</v>
      </c>
      <c r="D30" s="41"/>
    </row>
    <row r="31" ht="8.75" customHeight="1" hidden="1">
      <c r="B31" s="42"/>
      <c r="C31" s="40">
        <v>130</v>
      </c>
      <c r="D31" s="41"/>
    </row>
    <row r="32" ht="8.75" customHeight="1" hidden="1">
      <c r="B32" s="42"/>
      <c r="C32" s="40">
        <v>178</v>
      </c>
      <c r="D32" s="41"/>
    </row>
    <row r="33" ht="8.75" customHeight="1" hidden="1">
      <c r="B33" s="42"/>
      <c r="C33" s="40">
        <v>193</v>
      </c>
      <c r="D33" s="41"/>
    </row>
    <row r="34" ht="8.75" customHeight="1" hidden="1">
      <c r="B34" s="42"/>
      <c r="C34" s="40">
        <v>275</v>
      </c>
      <c r="D34" s="41"/>
    </row>
    <row r="35" ht="8.75" customHeight="1" hidden="1">
      <c r="B35" s="42"/>
      <c r="C35" s="40">
        <v>250</v>
      </c>
      <c r="D35" s="41"/>
    </row>
    <row r="36" ht="8.75" customHeight="1" hidden="1">
      <c r="B36" s="42"/>
      <c r="C36" s="40">
        <v>290</v>
      </c>
      <c r="D36" s="41"/>
    </row>
    <row r="37" ht="8.75" customHeight="1" hidden="1">
      <c r="B37" s="42"/>
      <c r="C37" s="40">
        <v>290</v>
      </c>
      <c r="D37" s="41"/>
    </row>
    <row r="38" ht="8.75" customHeight="1" hidden="1">
      <c r="B38" s="42"/>
      <c r="C38" s="40">
        <v>300</v>
      </c>
      <c r="D38" s="41"/>
    </row>
    <row r="39" ht="8.75" customHeight="1" hidden="1">
      <c r="B39" s="42"/>
      <c r="C39" s="40">
        <v>300</v>
      </c>
      <c r="D39" s="41"/>
    </row>
    <row r="40" ht="8.75" customHeight="1" hidden="1">
      <c r="B40" s="39">
        <v>2010</v>
      </c>
      <c r="C40" s="40">
        <v>350</v>
      </c>
      <c r="D40" s="41"/>
    </row>
    <row r="41" ht="8.75" customHeight="1" hidden="1">
      <c r="B41" s="42"/>
      <c r="C41" s="40">
        <v>360</v>
      </c>
      <c r="D41" s="41"/>
    </row>
    <row r="42" ht="8.75" customHeight="1" hidden="1">
      <c r="B42" s="42"/>
      <c r="C42" s="40">
        <v>415</v>
      </c>
      <c r="D42" s="41"/>
    </row>
    <row r="43" ht="8.75" customHeight="1" hidden="1">
      <c r="B43" s="42"/>
      <c r="C43" s="40">
        <v>490</v>
      </c>
      <c r="D43" s="41"/>
    </row>
    <row r="44" ht="8.75" customHeight="1" hidden="1">
      <c r="B44" s="42"/>
      <c r="C44" s="40">
        <v>385</v>
      </c>
      <c r="D44" s="41"/>
    </row>
    <row r="45" ht="8.75" customHeight="1" hidden="1">
      <c r="B45" s="42"/>
      <c r="C45" s="40">
        <v>425</v>
      </c>
      <c r="D45" s="41"/>
    </row>
    <row r="46" ht="8.75" customHeight="1" hidden="1">
      <c r="B46" s="42"/>
      <c r="C46" s="40">
        <v>465</v>
      </c>
      <c r="D46" s="41"/>
    </row>
    <row r="47" ht="8.75" customHeight="1" hidden="1">
      <c r="B47" s="42"/>
      <c r="C47" s="40">
        <v>460</v>
      </c>
      <c r="D47" s="41"/>
    </row>
    <row r="48" ht="8.75" customHeight="1" hidden="1">
      <c r="B48" s="42"/>
      <c r="C48" s="40">
        <v>550</v>
      </c>
      <c r="D48" s="41"/>
    </row>
    <row r="49" ht="8.75" customHeight="1" hidden="1">
      <c r="B49" s="42"/>
      <c r="C49" s="40">
        <v>565</v>
      </c>
      <c r="D49" s="41"/>
    </row>
    <row r="50" ht="8.75" customHeight="1" hidden="1">
      <c r="B50" s="42"/>
      <c r="C50" s="40">
        <v>580</v>
      </c>
      <c r="D50" s="41"/>
    </row>
    <row r="51" ht="8.75" customHeight="1" hidden="1">
      <c r="B51" s="42"/>
      <c r="C51" s="40">
        <v>545</v>
      </c>
      <c r="D51" s="41"/>
    </row>
    <row r="52" ht="8.75" customHeight="1" hidden="1">
      <c r="B52" s="39">
        <v>2011</v>
      </c>
      <c r="C52" s="40">
        <v>435</v>
      </c>
      <c r="D52" s="41"/>
    </row>
    <row r="53" ht="8.75" customHeight="1" hidden="1">
      <c r="B53" s="42"/>
      <c r="C53" s="40">
        <v>500</v>
      </c>
      <c r="D53" s="41"/>
    </row>
    <row r="54" ht="8.75" customHeight="1" hidden="1">
      <c r="B54" s="42"/>
      <c r="C54" s="40">
        <v>580</v>
      </c>
      <c r="D54" s="41"/>
    </row>
    <row r="55" ht="8.75" customHeight="1" hidden="1">
      <c r="B55" s="42"/>
      <c r="C55" s="40">
        <v>630</v>
      </c>
      <c r="D55" s="41"/>
    </row>
    <row r="56" ht="8.75" customHeight="1" hidden="1">
      <c r="B56" s="42"/>
      <c r="C56" s="40">
        <v>570</v>
      </c>
      <c r="D56" s="41"/>
    </row>
    <row r="57" ht="8.75" customHeight="1" hidden="1">
      <c r="B57" s="42"/>
      <c r="C57" s="40">
        <v>570</v>
      </c>
      <c r="D57" s="41"/>
    </row>
    <row r="58" ht="8.75" customHeight="1" hidden="1">
      <c r="B58" s="42"/>
      <c r="C58" s="40">
        <v>640</v>
      </c>
      <c r="D58" s="41"/>
    </row>
    <row r="59" ht="8.75" customHeight="1" hidden="1">
      <c r="B59" s="42"/>
      <c r="C59" s="40">
        <v>605</v>
      </c>
      <c r="D59" s="41"/>
    </row>
    <row r="60" ht="8.75" customHeight="1" hidden="1">
      <c r="B60" s="42"/>
      <c r="C60" s="40">
        <v>500</v>
      </c>
      <c r="D60" s="41"/>
    </row>
    <row r="61" ht="8.75" customHeight="1" hidden="1">
      <c r="B61" s="42"/>
      <c r="C61" s="40">
        <v>585</v>
      </c>
      <c r="D61" s="41"/>
    </row>
    <row r="62" ht="8.75" customHeight="1" hidden="1">
      <c r="B62" s="42"/>
      <c r="C62" s="40">
        <v>530</v>
      </c>
      <c r="D62" s="41"/>
    </row>
    <row r="63" ht="8.75" customHeight="1" hidden="1">
      <c r="B63" s="42"/>
      <c r="C63" s="40">
        <v>620</v>
      </c>
      <c r="D63" s="41"/>
    </row>
    <row r="64" ht="8.75" customHeight="1" hidden="1">
      <c r="B64" s="39">
        <v>2012</v>
      </c>
      <c r="C64" s="40">
        <v>600</v>
      </c>
      <c r="D64" s="41"/>
    </row>
    <row r="65" ht="8.75" customHeight="1" hidden="1">
      <c r="B65" s="42"/>
      <c r="C65" s="40">
        <v>645</v>
      </c>
      <c r="D65" s="41"/>
    </row>
    <row r="66" ht="8.75" customHeight="1" hidden="1">
      <c r="B66" s="42"/>
      <c r="C66" s="40">
        <v>785</v>
      </c>
      <c r="D66" s="41"/>
    </row>
    <row r="67" ht="8.75" customHeight="1" hidden="1">
      <c r="B67" s="42"/>
      <c r="C67" s="40">
        <v>865</v>
      </c>
      <c r="D67" s="41"/>
    </row>
    <row r="68" ht="8.75" customHeight="1" hidden="1">
      <c r="B68" s="42"/>
      <c r="C68" s="40">
        <v>710</v>
      </c>
      <c r="D68" s="41"/>
    </row>
    <row r="69" ht="8.75" customHeight="1" hidden="1">
      <c r="B69" s="42"/>
      <c r="C69" s="40">
        <v>810</v>
      </c>
      <c r="D69" s="41"/>
    </row>
    <row r="70" ht="8.75" customHeight="1" hidden="1">
      <c r="B70" s="42"/>
      <c r="C70" s="40">
        <v>810</v>
      </c>
      <c r="D70" s="41"/>
    </row>
    <row r="71" ht="8.75" customHeight="1" hidden="1">
      <c r="B71" s="42"/>
      <c r="C71" s="40">
        <v>735</v>
      </c>
      <c r="D71" s="41"/>
    </row>
    <row r="72" ht="8.75" customHeight="1" hidden="1">
      <c r="B72" s="42"/>
      <c r="C72" s="40">
        <v>840</v>
      </c>
      <c r="D72" s="41"/>
    </row>
    <row r="73" ht="8.75" customHeight="1" hidden="1">
      <c r="B73" s="42"/>
      <c r="C73" s="40">
        <v>875</v>
      </c>
      <c r="D73" s="41"/>
    </row>
    <row r="74" ht="8.75" customHeight="1" hidden="1">
      <c r="B74" s="42"/>
      <c r="C74" s="40">
        <v>960</v>
      </c>
      <c r="D74" s="41"/>
    </row>
    <row r="75" ht="8.75" customHeight="1" hidden="1">
      <c r="B75" s="42"/>
      <c r="C75" s="40">
        <v>950</v>
      </c>
      <c r="D75" s="41"/>
    </row>
    <row r="76" ht="8.75" customHeight="1" hidden="1">
      <c r="B76" s="39">
        <v>2013</v>
      </c>
      <c r="C76" s="40">
        <v>945</v>
      </c>
      <c r="D76" s="41"/>
    </row>
    <row r="77" ht="8.75" customHeight="1" hidden="1">
      <c r="B77" s="42"/>
      <c r="C77" s="43">
        <v>1163</v>
      </c>
      <c r="D77" s="41"/>
    </row>
    <row r="78" ht="8.75" customHeight="1" hidden="1">
      <c r="B78" s="42"/>
      <c r="C78" s="43">
        <v>1238</v>
      </c>
      <c r="D78" s="41"/>
    </row>
    <row r="79" ht="8.75" customHeight="1" hidden="1">
      <c r="B79" s="42"/>
      <c r="C79" s="43">
        <v>1300</v>
      </c>
      <c r="D79" s="41"/>
    </row>
    <row r="80" ht="8.75" customHeight="1" hidden="1">
      <c r="B80" s="42"/>
      <c r="C80" s="43">
        <v>1400</v>
      </c>
      <c r="D80" s="41"/>
    </row>
    <row r="81" ht="8.75" customHeight="1" hidden="1">
      <c r="B81" s="42"/>
      <c r="C81" s="43">
        <v>1290</v>
      </c>
      <c r="D81" s="41"/>
    </row>
    <row r="82" ht="8.75" customHeight="1" hidden="1">
      <c r="B82" s="42"/>
      <c r="C82" s="43">
        <v>1000</v>
      </c>
      <c r="D82" s="41"/>
    </row>
    <row r="83" ht="8.75" customHeight="1" hidden="1">
      <c r="B83" s="42"/>
      <c r="C83" s="40">
        <v>780</v>
      </c>
      <c r="D83" s="41"/>
    </row>
    <row r="84" ht="8.75" customHeight="1" hidden="1">
      <c r="B84" s="42"/>
      <c r="C84" s="40">
        <v>930</v>
      </c>
      <c r="D84" s="41"/>
    </row>
    <row r="85" ht="8.75" customHeight="1" hidden="1">
      <c r="B85" s="42"/>
      <c r="C85" s="43">
        <v>1050</v>
      </c>
      <c r="D85" s="41"/>
    </row>
    <row r="86" ht="8.75" customHeight="1" hidden="1">
      <c r="B86" s="42"/>
      <c r="C86" s="40">
        <v>900</v>
      </c>
      <c r="D86" s="41"/>
    </row>
    <row r="87" ht="8.75" customHeight="1" hidden="1">
      <c r="B87" s="42"/>
      <c r="C87" s="40">
        <v>780</v>
      </c>
      <c r="D87" s="41"/>
    </row>
    <row r="88" ht="20.25" customHeight="1">
      <c r="B88" s="27">
        <v>2018</v>
      </c>
      <c r="C88" s="44">
        <v>905</v>
      </c>
      <c r="D88" s="8"/>
    </row>
    <row r="89" ht="20.05" customHeight="1">
      <c r="B89" s="33"/>
      <c r="C89" s="22">
        <v>905</v>
      </c>
      <c r="D89" s="35"/>
    </row>
    <row r="90" ht="20.05" customHeight="1">
      <c r="B90" s="33"/>
      <c r="C90" s="22">
        <v>655</v>
      </c>
      <c r="D90" s="35"/>
    </row>
    <row r="91" ht="20.05" customHeight="1">
      <c r="B91" s="33"/>
      <c r="C91" s="22">
        <v>805</v>
      </c>
      <c r="D91" s="35"/>
    </row>
    <row r="92" ht="20.05" customHeight="1">
      <c r="B92" s="34">
        <v>2019</v>
      </c>
      <c r="C92" s="22">
        <v>940</v>
      </c>
      <c r="D92" s="35"/>
    </row>
    <row r="93" ht="20.05" customHeight="1">
      <c r="B93" s="33"/>
      <c r="C93" s="45">
        <v>1220</v>
      </c>
      <c r="D93" s="35"/>
    </row>
    <row r="94" ht="20.05" customHeight="1">
      <c r="B94" s="33"/>
      <c r="C94" s="45">
        <v>1155</v>
      </c>
      <c r="D94" s="35"/>
    </row>
    <row r="95" ht="20.05" customHeight="1">
      <c r="B95" s="33"/>
      <c r="C95" s="45">
        <v>1005</v>
      </c>
      <c r="D95" s="35"/>
    </row>
    <row r="96" ht="20.05" customHeight="1">
      <c r="B96" s="34">
        <v>2020</v>
      </c>
      <c r="C96" s="45">
        <v>400</v>
      </c>
      <c r="D96" s="20"/>
    </row>
    <row r="97" ht="20.05" customHeight="1">
      <c r="B97" s="33"/>
      <c r="C97" s="45">
        <v>585</v>
      </c>
      <c r="D97" s="20"/>
    </row>
    <row r="98" ht="20.05" customHeight="1">
      <c r="B98" s="33"/>
      <c r="C98" s="45">
        <v>555</v>
      </c>
      <c r="D98" s="20"/>
    </row>
    <row r="99" ht="20.05" customHeight="1">
      <c r="B99" s="33"/>
      <c r="C99" s="45">
        <v>805</v>
      </c>
      <c r="D99" s="20"/>
    </row>
    <row r="100" ht="20.05" customHeight="1">
      <c r="B100" s="34">
        <v>2021</v>
      </c>
      <c r="C100" s="19">
        <v>940</v>
      </c>
      <c r="D100" s="20"/>
    </row>
    <row r="101" ht="20.05" customHeight="1">
      <c r="B101" s="33"/>
      <c r="C101" s="19">
        <v>850</v>
      </c>
      <c r="D101" s="20"/>
    </row>
    <row r="102" ht="20.05" customHeight="1">
      <c r="B102" s="33"/>
      <c r="C102" s="19">
        <v>845</v>
      </c>
      <c r="D102" s="20"/>
    </row>
    <row r="103" ht="20.05" customHeight="1">
      <c r="B103" s="33"/>
      <c r="C103" s="19">
        <v>855</v>
      </c>
      <c r="D103" s="20">
        <f>C103</f>
        <v>855</v>
      </c>
    </row>
    <row r="104" ht="20.05" customHeight="1">
      <c r="B104" s="33"/>
      <c r="C104" s="19"/>
      <c r="D104" s="20">
        <f>'Model'!F42</f>
        <v>942.006873140679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