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<sst xmlns="http://schemas.openxmlformats.org/spreadsheetml/2006/main" uniqueCount="56">
  <si>
    <t>Financial model</t>
  </si>
  <si>
    <t>Rpbn</t>
  </si>
  <si>
    <t>4Q 2021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</si>
  <si>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</si>
  <si>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</si>
  <si>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</si>
  <si>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</si>
  <si>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</si>
  <si>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</si>
  <si>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</si>
  <si>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Finance</t>
  </si>
  <si>
    <t xml:space="preserve">Equity </t>
  </si>
  <si>
    <t xml:space="preserve">Before revolver </t>
  </si>
  <si>
    <t xml:space="preserve">Revolver </t>
  </si>
  <si>
    <t>Beginning</t>
  </si>
  <si>
    <t>Change</t>
  </si>
  <si>
    <t xml:space="preserve">Ending </t>
  </si>
  <si>
    <t>Profit</t>
  </si>
  <si>
    <t xml:space="preserve">Provisions </t>
  </si>
  <si>
    <t xml:space="preserve">Depreciation </t>
  </si>
  <si>
    <t xml:space="preserve">Balance sheet </t>
  </si>
  <si>
    <t>Other assets</t>
  </si>
  <si>
    <t>Net assets</t>
  </si>
  <si>
    <t xml:space="preserve">Liabilities </t>
  </si>
  <si>
    <t>Check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</si>
  <si>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</si>
  <si>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</si>
  <si>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</si>
  <si>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</si>
  <si>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</si>
  <si>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</si>
  <si>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</si>
  <si>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</si>
  <si>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</si>
  <si>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</si>
  <si>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</si>
  <si>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</si>
  <si>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Forecast v sales </t>
  </si>
  <si>
    <t xml:space="preserve">Sales </t>
  </si>
  <si>
    <t>Sales growth</t>
  </si>
  <si>
    <t>Sales to assets</t>
  </si>
  <si>
    <t>Cost ratio</t>
  </si>
  <si>
    <t xml:space="preserve">Cashflow costs </t>
  </si>
  <si>
    <t>Cashflow</t>
  </si>
  <si>
    <t xml:space="preserve">Receipts </t>
  </si>
  <si>
    <t xml:space="preserve">Free cashflow </t>
  </si>
  <si>
    <t>Balance sheet</t>
  </si>
  <si>
    <t>Cash</t>
  </si>
  <si>
    <t>Total assets</t>
  </si>
  <si>
    <t>Equity</t>
  </si>
  <si>
    <t xml:space="preserve">Check </t>
  </si>
  <si>
    <t xml:space="preserve">Other assets  growth </t>
  </si>
  <si>
    <t xml:space="preserve">Liabilities growth </t>
  </si>
  <si>
    <t>Share price</t>
  </si>
  <si>
    <t>SMMA</t>
  </si>
  <si>
    <t>Target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</si>
</sst>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874573</xdr:colOff>
      <xdr:row>1</xdr:row>
      <xdr:rowOff>345440</xdr:rowOff>
    </xdr:from>
    <xdr:to>
      <xdr:col>12</xdr:col>
      <xdr:colOff>1052651</xdr:colOff>
      <xdr:row>43</xdr:row>
      <xdr:rowOff>186094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332273" y="755650"/>
          <a:ext cx="7645679" cy="106369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97656" style="1" customWidth="1"/>
    <col min="2" max="2" width="14.7656" style="1" customWidth="1"/>
    <col min="3" max="6" width="8.70312" style="1" customWidth="1"/>
    <col min="7" max="16384" width="16.3516" style="1" customWidth="1"/>
  </cols>
  <sheetData>
    <row r="1" ht="32.3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AVERAGE('Sales'!I22:I25)</f>
        <v>-0.0143757466505038</v>
      </c>
      <c r="D4" s="8"/>
      <c r="E4" s="8"/>
      <c r="F4" s="9">
        <f>AVERAGE(C5:F5)</f>
        <v>0.0525</v>
      </c>
    </row>
    <row r="5" ht="20.05" customHeight="1">
      <c r="B5" t="s" s="10">
        <v>4</v>
      </c>
      <c r="C5" s="11">
        <v>0.12</v>
      </c>
      <c r="D5" s="12">
        <v>-0.01</v>
      </c>
      <c r="E5" s="12">
        <v>0.05</v>
      </c>
      <c r="F5" s="12">
        <v>0.05</v>
      </c>
    </row>
    <row r="6" ht="20.05" customHeight="1">
      <c r="B6" t="s" s="10">
        <v>5</v>
      </c>
      <c r="C6" s="13">
        <f>'Sales'!C25*(1+C5)</f>
        <v>9325.343999999999</v>
      </c>
      <c r="D6" s="14">
        <f>C6*(1+D5)</f>
        <v>9232.090560000001</v>
      </c>
      <c r="E6" s="14">
        <f>D6*(1+E5)</f>
        <v>9693.695088</v>
      </c>
      <c r="F6" s="14">
        <f>E6*(1+F5)</f>
        <v>10178.3798424</v>
      </c>
    </row>
    <row r="7" ht="20.05" customHeight="1">
      <c r="B7" t="s" s="10">
        <v>6</v>
      </c>
      <c r="C7" s="15">
        <f>AVERAGE('Sales'!K25)</f>
        <v>-0.730080949292594</v>
      </c>
      <c r="D7" s="16">
        <f>C7</f>
        <v>-0.730080949292594</v>
      </c>
      <c r="E7" s="16">
        <f>D7</f>
        <v>-0.730080949292594</v>
      </c>
      <c r="F7" s="16">
        <f>E7</f>
        <v>-0.730080949292594</v>
      </c>
    </row>
    <row r="8" ht="20.05" customHeight="1">
      <c r="B8" t="s" s="10">
        <v>7</v>
      </c>
      <c r="C8" s="17">
        <f>C6*C7</f>
        <v>-6808.256</v>
      </c>
      <c r="D8" s="18">
        <f>D6*D7</f>
        <v>-6740.17344</v>
      </c>
      <c r="E8" s="18">
        <f>E6*E7</f>
        <v>-7077.182112</v>
      </c>
      <c r="F8" s="18">
        <f>F6*F7</f>
        <v>-7431.0412176</v>
      </c>
    </row>
    <row r="9" ht="20.05" customHeight="1">
      <c r="B9" t="s" s="10">
        <v>8</v>
      </c>
      <c r="C9" s="13">
        <f>C6+C8</f>
        <v>2517.088</v>
      </c>
      <c r="D9" s="14">
        <f>D6+D8</f>
        <v>2491.91712</v>
      </c>
      <c r="E9" s="14">
        <f>E6+E8</f>
        <v>2616.512976</v>
      </c>
      <c r="F9" s="14">
        <f>F6+F8</f>
        <v>2747.3386248</v>
      </c>
    </row>
    <row r="10" ht="20.05" customHeight="1">
      <c r="B10" t="s" s="10">
        <v>9</v>
      </c>
      <c r="C10" s="17">
        <f>AVERAGE('Cashflow '!E26)</f>
        <v>-12.1</v>
      </c>
      <c r="D10" s="18">
        <f>C10</f>
        <v>-12.1</v>
      </c>
      <c r="E10" s="18">
        <f>D10</f>
        <v>-12.1</v>
      </c>
      <c r="F10" s="18">
        <f>E10</f>
        <v>-12.1</v>
      </c>
    </row>
    <row r="11" ht="20.05" customHeight="1">
      <c r="B11" t="s" s="10">
        <v>10</v>
      </c>
      <c r="C11" s="17">
        <f>C12+C14</f>
        <v>-546.5364</v>
      </c>
      <c r="D11" s="18">
        <f>D12+D14</f>
        <v>-538.985136</v>
      </c>
      <c r="E11" s="18">
        <f>E12+E14</f>
        <v>-576.3638928</v>
      </c>
      <c r="F11" s="18">
        <f>F12+F14</f>
        <v>-615.61158744</v>
      </c>
    </row>
    <row r="12" ht="20.05" customHeight="1">
      <c r="B12" t="s" s="10">
        <v>11</v>
      </c>
      <c r="C12" s="17">
        <f>IF(C21&gt;0,-C21*0.3,0)</f>
        <v>-546.5364</v>
      </c>
      <c r="D12" s="18">
        <f>IF(D21&gt;0,-D21*0.3,0)</f>
        <v>-538.985136</v>
      </c>
      <c r="E12" s="18">
        <f>IF(E21&gt;0,-E21*0.3,0)</f>
        <v>-576.3638928</v>
      </c>
      <c r="F12" s="18">
        <f>IF(F21&gt;0,-F21*0.3,0)</f>
        <v>-615.61158744</v>
      </c>
    </row>
    <row r="13" ht="20.05" customHeight="1">
      <c r="B13" t="s" s="10">
        <v>12</v>
      </c>
      <c r="C13" s="17">
        <f>C9+C10+C12</f>
        <v>1958.4516</v>
      </c>
      <c r="D13" s="18">
        <f>D9+D10+D12</f>
        <v>1940.831984</v>
      </c>
      <c r="E13" s="18">
        <f>E9+E10+E12</f>
        <v>2028.0490832</v>
      </c>
      <c r="F13" s="18">
        <f>F9+F10+F12</f>
        <v>2119.62703736</v>
      </c>
    </row>
    <row r="14" ht="20.05" customHeight="1">
      <c r="B14" t="s" s="10">
        <v>13</v>
      </c>
      <c r="C14" s="17">
        <f>-MIN(0,C13)</f>
        <v>0</v>
      </c>
      <c r="D14" s="18">
        <f>-MIN(C27,D13)</f>
        <v>0</v>
      </c>
      <c r="E14" s="18">
        <f>-MIN(D27,E13)</f>
        <v>0</v>
      </c>
      <c r="F14" s="18">
        <f>-MIN(E27,F13)</f>
        <v>0</v>
      </c>
    </row>
    <row r="15" ht="20.05" customHeight="1">
      <c r="B15" t="s" s="10">
        <v>14</v>
      </c>
      <c r="C15" s="17">
        <f>'Balance sheet'!B21</f>
        <v>4463</v>
      </c>
      <c r="D15" s="18">
        <f>C17</f>
        <v>6421.4516</v>
      </c>
      <c r="E15" s="18">
        <f>D17</f>
        <v>8362.283584000001</v>
      </c>
      <c r="F15" s="18">
        <f>E17</f>
        <v>10390.3326672</v>
      </c>
    </row>
    <row r="16" ht="20.05" customHeight="1">
      <c r="B16" t="s" s="10">
        <v>15</v>
      </c>
      <c r="C16" s="17">
        <f>C9+C10+C11</f>
        <v>1958.4516</v>
      </c>
      <c r="D16" s="18">
        <f>D9+D10+D11</f>
        <v>1940.831984</v>
      </c>
      <c r="E16" s="18">
        <f>E9+E10+E11</f>
        <v>2028.0490832</v>
      </c>
      <c r="F16" s="18">
        <f>F9+F10+F11</f>
        <v>2119.62703736</v>
      </c>
    </row>
    <row r="17" ht="20.05" customHeight="1">
      <c r="B17" t="s" s="10">
        <v>16</v>
      </c>
      <c r="C17" s="17">
        <f>C15+C16</f>
        <v>6421.4516</v>
      </c>
      <c r="D17" s="18">
        <f>D15+D16</f>
        <v>8362.283584000001</v>
      </c>
      <c r="E17" s="18">
        <f>E15+E16</f>
        <v>10390.3326672</v>
      </c>
      <c r="F17" s="18">
        <f>F15+F16</f>
        <v>12509.95970456</v>
      </c>
    </row>
    <row r="18" ht="20.05" customHeight="1">
      <c r="B18" t="s" s="19">
        <v>17</v>
      </c>
      <c r="C18" s="17"/>
      <c r="D18" s="18"/>
      <c r="E18" s="18"/>
      <c r="F18" s="18"/>
    </row>
    <row r="19" ht="20.05" customHeight="1">
      <c r="B19" t="s" s="10">
        <v>18</v>
      </c>
      <c r="C19" s="17">
        <f>-AVERAGE('Sales'!E23:E25)</f>
        <v>-586</v>
      </c>
      <c r="D19" s="18">
        <f>C19</f>
        <v>-586</v>
      </c>
      <c r="E19" s="18">
        <f>D19</f>
        <v>-586</v>
      </c>
      <c r="F19" s="18">
        <f>E19</f>
        <v>-586</v>
      </c>
    </row>
    <row r="20" ht="20.05" customHeight="1">
      <c r="B20" t="s" s="10">
        <v>19</v>
      </c>
      <c r="C20" s="17">
        <f>-AVERAGE('Sales'!F25)</f>
        <v>-109.3</v>
      </c>
      <c r="D20" s="18">
        <f>C20</f>
        <v>-109.3</v>
      </c>
      <c r="E20" s="18">
        <f>D20</f>
        <v>-109.3</v>
      </c>
      <c r="F20" s="18">
        <f>E20</f>
        <v>-109.3</v>
      </c>
    </row>
    <row r="21" ht="20.05" customHeight="1">
      <c r="B21" t="s" s="10">
        <v>17</v>
      </c>
      <c r="C21" s="17">
        <f>C6+C8+C19+C20</f>
        <v>1821.788</v>
      </c>
      <c r="D21" s="18">
        <f>D6+D8+D19+D20</f>
        <v>1796.61712</v>
      </c>
      <c r="E21" s="18">
        <f>E6+E8+E19+E20</f>
        <v>1921.212976</v>
      </c>
      <c r="F21" s="18">
        <f>F6+F8+F19+F20</f>
        <v>2052.0386248</v>
      </c>
    </row>
    <row r="22" ht="20.05" customHeight="1">
      <c r="B22" t="s" s="19">
        <v>20</v>
      </c>
      <c r="C22" s="17"/>
      <c r="D22" s="18"/>
      <c r="E22" s="18"/>
      <c r="F22" s="18"/>
    </row>
    <row r="23" ht="20.05" customHeight="1">
      <c r="B23" t="s" s="10">
        <v>21</v>
      </c>
      <c r="C23" s="17">
        <f>'Balance sheet'!D21+'Balance sheet'!E21-C10</f>
        <v>113230.1</v>
      </c>
      <c r="D23" s="18">
        <f>C23-D10</f>
        <v>113242.2</v>
      </c>
      <c r="E23" s="18">
        <f>D23-E10</f>
        <v>113254.3</v>
      </c>
      <c r="F23" s="18">
        <f>E23-F10</f>
        <v>113266.4</v>
      </c>
    </row>
    <row r="24" ht="20.05" customHeight="1">
      <c r="B24" t="s" s="10">
        <v>19</v>
      </c>
      <c r="C24" s="17">
        <f>'Balance sheet'!E21-C20-C19</f>
        <v>3244.3</v>
      </c>
      <c r="D24" s="18">
        <f>C24-D19-D20</f>
        <v>3939.6</v>
      </c>
      <c r="E24" s="18">
        <f>D24-E19-E20</f>
        <v>4634.9</v>
      </c>
      <c r="F24" s="18">
        <f>E24-F19-F20</f>
        <v>5330.2</v>
      </c>
    </row>
    <row r="25" ht="20.05" customHeight="1">
      <c r="B25" t="s" s="10">
        <v>22</v>
      </c>
      <c r="C25" s="17">
        <f>C23-C24</f>
        <v>109985.8</v>
      </c>
      <c r="D25" s="18">
        <f>D23-D24</f>
        <v>109302.6</v>
      </c>
      <c r="E25" s="18">
        <f>E23-E24</f>
        <v>108619.4</v>
      </c>
      <c r="F25" s="18">
        <f>F23-F24</f>
        <v>107936.2</v>
      </c>
    </row>
    <row r="26" ht="20.05" customHeight="1">
      <c r="B26" t="s" s="10">
        <v>23</v>
      </c>
      <c r="C26" s="17">
        <f>'Balance sheet'!F21</f>
        <v>91392</v>
      </c>
      <c r="D26" s="14">
        <f>C26</f>
        <v>91392</v>
      </c>
      <c r="E26" s="14">
        <f>D26</f>
        <v>91392</v>
      </c>
      <c r="F26" s="14">
        <f>E26</f>
        <v>91392</v>
      </c>
    </row>
    <row r="27" ht="20.05" customHeight="1">
      <c r="B27" t="s" s="10">
        <v>13</v>
      </c>
      <c r="C27" s="17">
        <f>C14</f>
        <v>0</v>
      </c>
      <c r="D27" s="18">
        <f>C27+D14</f>
        <v>0</v>
      </c>
      <c r="E27" s="18">
        <f>D27+E14</f>
        <v>0</v>
      </c>
      <c r="F27" s="18">
        <f>E27+F14</f>
        <v>0</v>
      </c>
    </row>
    <row r="28" ht="20.05" customHeight="1">
      <c r="B28" t="s" s="10">
        <v>11</v>
      </c>
      <c r="C28" s="17">
        <f>'Balance sheet'!G21+C21+C12</f>
        <v>25015.2516</v>
      </c>
      <c r="D28" s="18">
        <f>C28+D21+D12</f>
        <v>26272.883584</v>
      </c>
      <c r="E28" s="18">
        <f>D28+E21+E12</f>
        <v>27617.7326672</v>
      </c>
      <c r="F28" s="18">
        <f>E28+F21+F12</f>
        <v>29054.15970456</v>
      </c>
    </row>
    <row r="29" ht="20.05" customHeight="1">
      <c r="B29" t="s" s="10">
        <v>24</v>
      </c>
      <c r="C29" s="17">
        <f>C26+C27+C28-C17-C25</f>
        <v>0</v>
      </c>
      <c r="D29" s="18">
        <f>D26+D27+D28-D17-D25</f>
        <v>0</v>
      </c>
      <c r="E29" s="18">
        <f>E26+E27+E28-E17-E25</f>
        <v>0</v>
      </c>
      <c r="F29" s="18">
        <f>F26+F27+F28-F17-F25</f>
        <v>0</v>
      </c>
    </row>
    <row r="30" ht="20.05" customHeight="1">
      <c r="B30" t="s" s="19">
        <v>25</v>
      </c>
      <c r="C30" s="17"/>
      <c r="D30" s="18"/>
      <c r="E30" s="18"/>
      <c r="F30" s="18"/>
    </row>
    <row r="31" ht="20.05" customHeight="1">
      <c r="B31" t="s" s="10">
        <v>26</v>
      </c>
      <c r="C31" s="17">
        <f>'Cashflow '!I26-C11</f>
        <v>-2269.7046</v>
      </c>
      <c r="D31" s="18">
        <f>C31-D11</f>
        <v>-1730.719464</v>
      </c>
      <c r="E31" s="18">
        <f>D31-E11</f>
        <v>-1154.3555712</v>
      </c>
      <c r="F31" s="18">
        <f>E31-F11</f>
        <v>-538.74398376</v>
      </c>
    </row>
    <row r="32" ht="20.05" customHeight="1">
      <c r="B32" t="s" s="10">
        <v>27</v>
      </c>
      <c r="C32" s="17"/>
      <c r="D32" s="18"/>
      <c r="E32" s="18"/>
      <c r="F32" s="18">
        <v>71320</v>
      </c>
    </row>
    <row r="33" ht="20.05" customHeight="1">
      <c r="B33" t="s" s="10">
        <v>28</v>
      </c>
      <c r="C33" s="17"/>
      <c r="D33" s="18"/>
      <c r="E33" s="18"/>
      <c r="F33" s="20">
        <f>F32/(F17+F25)</f>
        <v>0.592131788800402</v>
      </c>
    </row>
    <row r="34" ht="20.05" customHeight="1">
      <c r="B34" t="s" s="10">
        <v>29</v>
      </c>
      <c r="C34" s="17"/>
      <c r="D34" s="18"/>
      <c r="E34" s="18"/>
      <c r="F34" s="16">
        <f>-(C12+D12+E12+F12)/F32</f>
        <v>0.0319334971430174</v>
      </c>
    </row>
    <row r="35" ht="20.05" customHeight="1">
      <c r="B35" t="s" s="10">
        <v>3</v>
      </c>
      <c r="C35" s="17"/>
      <c r="D35" s="18"/>
      <c r="E35" s="18"/>
      <c r="F35" s="18">
        <f>SUM(C9:F10)</f>
        <v>10324.4567208</v>
      </c>
    </row>
    <row r="36" ht="20.05" customHeight="1">
      <c r="B36" t="s" s="10">
        <v>25</v>
      </c>
      <c r="C36" s="17"/>
      <c r="D36" s="18"/>
      <c r="E36" s="18"/>
      <c r="F36" s="18">
        <f>F32/F35</f>
        <v>6.9078695304438</v>
      </c>
    </row>
    <row r="37" ht="20.05" customHeight="1">
      <c r="B37" t="s" s="10">
        <v>30</v>
      </c>
      <c r="C37" s="17"/>
      <c r="D37" s="18"/>
      <c r="E37" s="18"/>
      <c r="F37" s="18">
        <v>15</v>
      </c>
    </row>
    <row r="38" ht="20.05" customHeight="1">
      <c r="B38" t="s" s="10">
        <v>31</v>
      </c>
      <c r="C38" s="17"/>
      <c r="D38" s="18"/>
      <c r="E38" s="18"/>
      <c r="F38" s="18">
        <f>F35*F37</f>
        <v>154866.850812</v>
      </c>
    </row>
    <row r="39" ht="20.05" customHeight="1">
      <c r="B39" t="s" s="10">
        <v>32</v>
      </c>
      <c r="C39" s="17"/>
      <c r="D39" s="18"/>
      <c r="E39" s="18"/>
      <c r="F39" s="18">
        <f>F32/F41</f>
        <v>6.36785714285714</v>
      </c>
    </row>
    <row r="40" ht="20.05" customHeight="1">
      <c r="B40" t="s" s="10">
        <v>33</v>
      </c>
      <c r="C40" s="17"/>
      <c r="D40" s="18"/>
      <c r="E40" s="18"/>
      <c r="F40" s="18">
        <f>F38/F39</f>
        <v>24320.0887422098</v>
      </c>
    </row>
    <row r="41" ht="20.05" customHeight="1">
      <c r="B41" t="s" s="10">
        <v>34</v>
      </c>
      <c r="C41" s="17"/>
      <c r="D41" s="18"/>
      <c r="E41" s="18"/>
      <c r="F41" s="18">
        <f>'Share price'!C27</f>
        <v>11200</v>
      </c>
    </row>
    <row r="42" ht="20.05" customHeight="1">
      <c r="B42" t="s" s="10">
        <v>35</v>
      </c>
      <c r="C42" s="17"/>
      <c r="D42" s="18"/>
      <c r="E42" s="18"/>
      <c r="F42" s="16">
        <f>F40/F41-1</f>
        <v>1.17143649484016</v>
      </c>
    </row>
    <row r="43" ht="20.05" customHeight="1">
      <c r="B43" t="s" s="10">
        <v>36</v>
      </c>
      <c r="C43" s="17"/>
      <c r="D43" s="18"/>
      <c r="E43" s="18"/>
      <c r="F43" s="16">
        <f>'Sales'!C25/'Sales'!C21-1</f>
        <v>-0.0954698533405758</v>
      </c>
    </row>
    <row r="44" ht="20.05" customHeight="1">
      <c r="B44" t="s" s="10">
        <v>37</v>
      </c>
      <c r="C44" s="17"/>
      <c r="D44" s="18"/>
      <c r="E44" s="18"/>
      <c r="F44" s="16">
        <f>('Sales'!D22+'Sales'!D23+'Sales'!D24)/('Sales'!C22+'Sales'!C23+'Sales'!C24)-1</f>
        <v>0.06579435273255479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M29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2.9375" style="21" customWidth="1"/>
    <col min="2" max="13" width="10.1875" style="21" customWidth="1"/>
    <col min="14" max="16384" width="16.3516" style="21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2.25" customHeight="1">
      <c r="B2" t="s" s="4">
        <v>1</v>
      </c>
      <c r="C2" t="s" s="4">
        <v>38</v>
      </c>
      <c r="D2" t="s" s="4">
        <v>30</v>
      </c>
      <c r="E2" t="s" s="4">
        <v>18</v>
      </c>
      <c r="F2" t="s" s="4">
        <v>19</v>
      </c>
      <c r="G2" t="s" s="4">
        <v>17</v>
      </c>
      <c r="H2" t="s" s="4">
        <v>17</v>
      </c>
      <c r="I2" t="s" s="4">
        <v>39</v>
      </c>
      <c r="J2" t="s" s="4">
        <v>40</v>
      </c>
      <c r="K2" t="s" s="4">
        <v>41</v>
      </c>
      <c r="L2" t="s" s="4">
        <v>42</v>
      </c>
      <c r="M2" t="s" s="4">
        <v>42</v>
      </c>
    </row>
    <row r="3" ht="20.25" customHeight="1">
      <c r="B3" s="22">
        <v>2016</v>
      </c>
      <c r="C3" s="23">
        <v>4593</v>
      </c>
      <c r="D3" s="24"/>
      <c r="E3" s="24">
        <v>96</v>
      </c>
      <c r="F3" s="25">
        <v>27</v>
      </c>
      <c r="G3" s="24">
        <v>327</v>
      </c>
      <c r="H3" s="26"/>
      <c r="I3" s="26"/>
      <c r="J3" s="9"/>
      <c r="K3" s="26">
        <f>(E3+F3+G3-C3)/C3</f>
        <v>-0.902024820378837</v>
      </c>
      <c r="L3" s="26"/>
      <c r="M3" s="26"/>
    </row>
    <row r="4" ht="20.05" customHeight="1">
      <c r="B4" s="27"/>
      <c r="C4" s="17">
        <v>6304</v>
      </c>
      <c r="D4" s="18"/>
      <c r="E4" s="18">
        <f>162+85-E3</f>
        <v>151</v>
      </c>
      <c r="F4" s="18">
        <v>27</v>
      </c>
      <c r="G4" s="18">
        <v>429</v>
      </c>
      <c r="H4" s="16"/>
      <c r="I4" s="16">
        <f>C4/C3-1</f>
        <v>0.372523405181798</v>
      </c>
      <c r="J4" s="12"/>
      <c r="K4" s="16">
        <f>(E4+F4+G4-C4)/C4</f>
        <v>-0.90371192893401</v>
      </c>
      <c r="L4" s="16"/>
      <c r="M4" s="16"/>
    </row>
    <row r="5" ht="20.05" customHeight="1">
      <c r="B5" s="27"/>
      <c r="C5" s="17">
        <v>6381</v>
      </c>
      <c r="D5" s="18"/>
      <c r="E5" s="18">
        <f>206+121-SUM(E3:E4)</f>
        <v>80</v>
      </c>
      <c r="F5" s="18">
        <v>27</v>
      </c>
      <c r="G5" s="18">
        <v>334</v>
      </c>
      <c r="H5" s="18">
        <f>AVERAGE(G2:G5)</f>
        <v>363.333333333333</v>
      </c>
      <c r="I5" s="16">
        <f>C5/C4-1</f>
        <v>0.0122144670050761</v>
      </c>
      <c r="J5" s="12"/>
      <c r="K5" s="16">
        <f>(E5+F5+G5-C5)/C5</f>
        <v>-0.930888575458392</v>
      </c>
      <c r="L5" s="16"/>
      <c r="M5" s="16"/>
    </row>
    <row r="6" ht="20.05" customHeight="1">
      <c r="B6" s="27"/>
      <c r="C6" s="17">
        <v>13298</v>
      </c>
      <c r="D6" s="18"/>
      <c r="E6" s="18">
        <f>340+84-SUM(E3:E5)</f>
        <v>97</v>
      </c>
      <c r="F6" s="18">
        <v>26.5</v>
      </c>
      <c r="G6" s="18">
        <v>600</v>
      </c>
      <c r="H6" s="18">
        <f>AVERAGE(G3:G6)</f>
        <v>422.5</v>
      </c>
      <c r="I6" s="16">
        <f>C6/C5-1</f>
        <v>1.08399937313901</v>
      </c>
      <c r="J6" s="12"/>
      <c r="K6" s="16">
        <f>(E6+F6+G6-C6)/C6</f>
        <v>-0.945593322304106</v>
      </c>
      <c r="L6" s="16"/>
      <c r="M6" s="16"/>
    </row>
    <row r="7" ht="20.05" customHeight="1">
      <c r="B7" s="28">
        <v>2017</v>
      </c>
      <c r="C7" s="17">
        <v>6648</v>
      </c>
      <c r="D7" s="18"/>
      <c r="E7" s="18">
        <v>323</v>
      </c>
      <c r="F7" s="18">
        <v>60</v>
      </c>
      <c r="G7" s="18">
        <v>491</v>
      </c>
      <c r="H7" s="18">
        <f>AVERAGE(G4:G7)</f>
        <v>463.5</v>
      </c>
      <c r="I7" s="16">
        <f>C7/C6-1</f>
        <v>-0.500075199278087</v>
      </c>
      <c r="J7" s="16">
        <f>C7/'Balance sheet'!D3</f>
        <v>0.0889150438690349</v>
      </c>
      <c r="K7" s="16">
        <f>(E7+F7+G7-C7)/C7</f>
        <v>-0.868531889290012</v>
      </c>
      <c r="L7" s="16"/>
      <c r="M7" s="16">
        <f>('Cashflow '!D8-'Cashflow '!C8)/'Cashflow '!C8</f>
        <v>-1.18476785229433</v>
      </c>
    </row>
    <row r="8" ht="20.05" customHeight="1">
      <c r="B8" s="27"/>
      <c r="C8" s="17">
        <v>6547</v>
      </c>
      <c r="D8" s="18"/>
      <c r="E8" s="18">
        <v>865</v>
      </c>
      <c r="F8" s="18">
        <v>51</v>
      </c>
      <c r="G8" s="18">
        <v>334</v>
      </c>
      <c r="H8" s="18">
        <f>AVERAGE(G5:G8)</f>
        <v>439.75</v>
      </c>
      <c r="I8" s="16">
        <f>C8/C7-1</f>
        <v>-0.0151925391095066</v>
      </c>
      <c r="J8" s="16">
        <f>C8/'Balance sheet'!D4</f>
        <v>0.0848210815432851</v>
      </c>
      <c r="K8" s="16">
        <f>(E8+F8+G8-C8)/C8</f>
        <v>-0.809072857797464</v>
      </c>
      <c r="L8" s="16"/>
      <c r="M8" s="16">
        <f>('Cashflow '!D9-'Cashflow '!C9)/'Cashflow '!C9</f>
        <v>-0.860439858810752</v>
      </c>
    </row>
    <row r="9" ht="20.05" customHeight="1">
      <c r="B9" s="27"/>
      <c r="C9" s="17">
        <v>10163</v>
      </c>
      <c r="D9" s="18"/>
      <c r="E9" s="18">
        <v>-715</v>
      </c>
      <c r="F9" s="18">
        <v>40</v>
      </c>
      <c r="G9" s="18">
        <v>425</v>
      </c>
      <c r="H9" s="18">
        <f>AVERAGE(G6:G9)</f>
        <v>462.5</v>
      </c>
      <c r="I9" s="16">
        <f>C9/C8-1</f>
        <v>0.552314036963495</v>
      </c>
      <c r="J9" s="16">
        <f>C9/'Balance sheet'!D5</f>
        <v>0.123789571127541</v>
      </c>
      <c r="K9" s="16">
        <f>(E9+F9+G9-C9)/C9</f>
        <v>-1.0245990357178</v>
      </c>
      <c r="L9" s="16"/>
      <c r="M9" s="16">
        <f>('Cashflow '!D10-'Cashflow '!C10)/'Cashflow '!C10</f>
        <v>-1.02484387727396</v>
      </c>
    </row>
    <row r="10" ht="20.05" customHeight="1">
      <c r="B10" s="27"/>
      <c r="C10" s="17">
        <v>9525</v>
      </c>
      <c r="D10" s="18"/>
      <c r="E10" s="18">
        <v>141</v>
      </c>
      <c r="F10" s="18">
        <v>75</v>
      </c>
      <c r="G10" s="18">
        <v>588</v>
      </c>
      <c r="H10" s="18">
        <f>AVERAGE(G7:G10)</f>
        <v>459.5</v>
      </c>
      <c r="I10" s="16">
        <f>C10/C9-1</f>
        <v>-0.0627767391518252</v>
      </c>
      <c r="J10" s="16">
        <f>C10/'Balance sheet'!D6</f>
        <v>0.112409275978049</v>
      </c>
      <c r="K10" s="16">
        <f>(E10+F10+G10-C10)/C10</f>
        <v>-0.915590551181102</v>
      </c>
      <c r="L10" s="16"/>
      <c r="M10" s="16">
        <f>('Cashflow '!D11-'Cashflow '!C11)/'Cashflow '!C11</f>
        <v>-1.07683953298941</v>
      </c>
    </row>
    <row r="11" ht="20.05" customHeight="1">
      <c r="B11" s="28">
        <v>2018</v>
      </c>
      <c r="C11" s="17">
        <v>9051</v>
      </c>
      <c r="D11" s="18"/>
      <c r="E11" s="18">
        <v>175</v>
      </c>
      <c r="F11" s="18">
        <v>64</v>
      </c>
      <c r="G11" s="18">
        <v>505</v>
      </c>
      <c r="H11" s="18">
        <f>AVERAGE(G8:G11)</f>
        <v>463</v>
      </c>
      <c r="I11" s="16">
        <f>C11/C10-1</f>
        <v>-0.0497637795275591</v>
      </c>
      <c r="J11" s="16">
        <f>C11/'Balance sheet'!D7</f>
        <v>0.101251803872873</v>
      </c>
      <c r="K11" s="16">
        <f>(E11+F11+G11-C11)/C11</f>
        <v>-0.9177991382167719</v>
      </c>
      <c r="L11" s="16">
        <f>AVERAGE(M8:M11)</f>
        <v>-1.01172637463319</v>
      </c>
      <c r="M11" s="16">
        <f>('Cashflow '!D12-'Cashflow '!C12)/'Cashflow '!C12</f>
        <v>-1.08478222945863</v>
      </c>
    </row>
    <row r="12" ht="20.05" customHeight="1">
      <c r="B12" s="27"/>
      <c r="C12" s="17">
        <v>11502</v>
      </c>
      <c r="D12" s="18"/>
      <c r="E12" s="18">
        <v>208</v>
      </c>
      <c r="F12" s="18">
        <v>67</v>
      </c>
      <c r="G12" s="18">
        <v>233</v>
      </c>
      <c r="H12" s="18">
        <f>AVERAGE(G9:G12)</f>
        <v>437.75</v>
      </c>
      <c r="I12" s="16">
        <f>C12/C11-1</f>
        <v>0.270798806761684</v>
      </c>
      <c r="J12" s="16">
        <f>C12/'Balance sheet'!D8</f>
        <v>0.120678620515995</v>
      </c>
      <c r="K12" s="16">
        <f>(E12+F12+G12-C12)/C12</f>
        <v>-0.955833768040341</v>
      </c>
      <c r="L12" s="16">
        <f>AVERAGE(M9:M12)</f>
        <v>-1.04516266799877</v>
      </c>
      <c r="M12" s="16">
        <f>('Cashflow '!D13-'Cashflow '!C13)/'Cashflow '!C13</f>
        <v>-0.994185032273071</v>
      </c>
    </row>
    <row r="13" ht="20.05" customHeight="1">
      <c r="B13" s="27"/>
      <c r="C13" s="17">
        <v>8174</v>
      </c>
      <c r="D13" s="18"/>
      <c r="E13" s="18">
        <f>722-SUM(E11:E12)</f>
        <v>339</v>
      </c>
      <c r="F13" s="18">
        <v>52</v>
      </c>
      <c r="G13" s="18">
        <v>561</v>
      </c>
      <c r="H13" s="18">
        <f>AVERAGE(G10:G13)</f>
        <v>471.75</v>
      </c>
      <c r="I13" s="16">
        <f>C13/C12-1</f>
        <v>-0.289340984176665</v>
      </c>
      <c r="J13" s="16">
        <f>C13/'Balance sheet'!D9</f>
        <v>0.0823560230524322</v>
      </c>
      <c r="K13" s="16">
        <f>(E13+F13+G13-C13)/C13</f>
        <v>-0.883533153902618</v>
      </c>
      <c r="L13" s="16">
        <f>AVERAGE(M10:M13)</f>
        <v>-1.05302392057945</v>
      </c>
      <c r="M13" s="16">
        <f>('Cashflow '!D14-'Cashflow '!C14)/'Cashflow '!C14</f>
        <v>-1.05628888759667</v>
      </c>
    </row>
    <row r="14" ht="20.05" customHeight="1">
      <c r="B14" s="27"/>
      <c r="C14" s="17">
        <v>8650</v>
      </c>
      <c r="D14" s="18"/>
      <c r="E14" s="18">
        <f>1304+1122-SUM(E11:E13)</f>
        <v>1704</v>
      </c>
      <c r="F14" s="18">
        <v>54</v>
      </c>
      <c r="G14" s="18">
        <v>239</v>
      </c>
      <c r="H14" s="18">
        <f>AVERAGE(G11:G14)</f>
        <v>384.5</v>
      </c>
      <c r="I14" s="16">
        <f>C14/C13-1</f>
        <v>0.058233423048691</v>
      </c>
      <c r="J14" s="16">
        <f>C14/'Balance sheet'!D10</f>
        <v>0.0894685670548809</v>
      </c>
      <c r="K14" s="16">
        <f>(E14+F14+G14-C14)/C14</f>
        <v>-0.769132947976879</v>
      </c>
      <c r="L14" s="16">
        <f>AVERAGE(M11:M14)</f>
        <v>-1.02183520381462</v>
      </c>
      <c r="M14" s="16">
        <f>('Cashflow '!D15-'Cashflow '!C15)/'Cashflow '!C15</f>
        <v>-0.952084665930104</v>
      </c>
    </row>
    <row r="15" ht="20.05" customHeight="1">
      <c r="B15" s="28">
        <v>2019</v>
      </c>
      <c r="C15" s="17">
        <v>9252</v>
      </c>
      <c r="D15" s="18"/>
      <c r="E15" s="18">
        <v>184</v>
      </c>
      <c r="F15" s="29">
        <v>88</v>
      </c>
      <c r="G15" s="18">
        <v>548</v>
      </c>
      <c r="H15" s="18">
        <f>AVERAGE(G12:G15)</f>
        <v>395.25</v>
      </c>
      <c r="I15" s="16">
        <f>C15/C14-1</f>
        <v>0.0695953757225434</v>
      </c>
      <c r="J15" s="16">
        <f>C15/'Balance sheet'!D11</f>
        <v>0.0911132120066178</v>
      </c>
      <c r="K15" s="16">
        <f>(E15+F15+G15-C15)/C15</f>
        <v>-0.911370514483355</v>
      </c>
      <c r="L15" s="16">
        <f>AVERAGE(M12:M15)</f>
        <v>-1.00516983228003</v>
      </c>
      <c r="M15" s="16">
        <f>('Cashflow '!D16-'Cashflow '!C16)/'Cashflow '!C16</f>
        <v>-1.01812074332029</v>
      </c>
    </row>
    <row r="16" ht="20.05" customHeight="1">
      <c r="B16" s="27"/>
      <c r="C16" s="17">
        <v>8365</v>
      </c>
      <c r="D16" s="18"/>
      <c r="E16" s="18">
        <f>995-E15</f>
        <v>811</v>
      </c>
      <c r="F16" s="18">
        <v>87.5</v>
      </c>
      <c r="G16" s="18">
        <v>191</v>
      </c>
      <c r="H16" s="18">
        <f>AVERAGE(G13:G16)</f>
        <v>384.75</v>
      </c>
      <c r="I16" s="16">
        <f>C16/C15-1</f>
        <v>-0.09587116299178559</v>
      </c>
      <c r="J16" s="16">
        <f>C16/'Balance sheet'!D12</f>
        <v>0.0802221092708563</v>
      </c>
      <c r="K16" s="16">
        <f>(E16+F16+G16-C16)/C16</f>
        <v>-0.869754931261207</v>
      </c>
      <c r="L16" s="16">
        <f>AVERAGE(M13:M16)</f>
        <v>-0.956668259718253</v>
      </c>
      <c r="M16" s="16">
        <f>('Cashflow '!D17-'Cashflow '!C17)/'Cashflow '!C17</f>
        <v>-0.800178742025948</v>
      </c>
    </row>
    <row r="17" ht="20.05" customHeight="1">
      <c r="B17" s="27"/>
      <c r="C17" s="17">
        <v>12900</v>
      </c>
      <c r="D17" s="18"/>
      <c r="E17" s="18">
        <f>1332+1694-SUM(E15:E16)</f>
        <v>2031</v>
      </c>
      <c r="F17" s="18">
        <v>-8</v>
      </c>
      <c r="G17" s="18">
        <v>5041</v>
      </c>
      <c r="H17" s="18">
        <f>AVERAGE(G14:G17)</f>
        <v>1504.75</v>
      </c>
      <c r="I17" s="16">
        <f>C17/C16-1</f>
        <v>0.542139868499701</v>
      </c>
      <c r="J17" s="16">
        <f>C17/'Balance sheet'!D13</f>
        <v>0.137465100914303</v>
      </c>
      <c r="K17" s="16">
        <f>(E17+F17+G17-C17)/C17</f>
        <v>-0.452403100775194</v>
      </c>
      <c r="L17" s="16">
        <f>AVERAGE(M14:M17)</f>
        <v>-1.13628459524767</v>
      </c>
      <c r="M17" s="16">
        <f>('Cashflow '!D18-'Cashflow '!C18)/'Cashflow '!C18</f>
        <v>-1.77475422971432</v>
      </c>
    </row>
    <row r="18" ht="20.05" customHeight="1">
      <c r="B18" s="27"/>
      <c r="C18" s="17">
        <v>11402</v>
      </c>
      <c r="D18" s="18"/>
      <c r="E18" s="18">
        <f>2490+14-SUM(E15:E17)</f>
        <v>-522</v>
      </c>
      <c r="F18" s="18">
        <v>50</v>
      </c>
      <c r="G18" s="18">
        <f>5070.55-SUM(G15:G17)</f>
        <v>-709.45</v>
      </c>
      <c r="H18" s="18">
        <f>AVERAGE(G15:G18)</f>
        <v>1267.6375</v>
      </c>
      <c r="I18" s="16">
        <f>C18/C17-1</f>
        <v>-0.116124031007752</v>
      </c>
      <c r="J18" s="16">
        <f>C18/'Balance sheet'!D14</f>
        <v>0.118695412290107</v>
      </c>
      <c r="K18" s="16">
        <f>(E18+F18+G18-C18)/C18</f>
        <v>-1.10361778635327</v>
      </c>
      <c r="L18" s="16">
        <f>AVERAGE(M15:M18)</f>
        <v>-1.17504391506672</v>
      </c>
      <c r="M18" s="16">
        <f>('Cashflow '!D19-'Cashflow '!C19)/'Cashflow '!C19</f>
        <v>-1.10712194520632</v>
      </c>
    </row>
    <row r="19" ht="20.05" customHeight="1">
      <c r="B19" s="28">
        <v>2020</v>
      </c>
      <c r="C19" s="17">
        <v>8083</v>
      </c>
      <c r="D19" s="18"/>
      <c r="E19" s="18">
        <f>2008+763</f>
        <v>2771</v>
      </c>
      <c r="F19" s="18">
        <v>114</v>
      </c>
      <c r="G19" s="18">
        <v>371</v>
      </c>
      <c r="H19" s="18">
        <f>AVERAGE(G16:G19)</f>
        <v>1223.3875</v>
      </c>
      <c r="I19" s="16">
        <f>C19/C18-1</f>
        <v>-0.291089282582003</v>
      </c>
      <c r="J19" s="16">
        <f>C19/'Balance sheet'!D15</f>
        <v>0.084924195463285</v>
      </c>
      <c r="K19" s="16">
        <f>(E19+F19+G19-C19)/C19</f>
        <v>-0.5971792651243349</v>
      </c>
      <c r="L19" s="16">
        <f>AVERAGE(M16:M19)</f>
        <v>-1.09009024721286</v>
      </c>
      <c r="M19" s="16">
        <f>('Cashflow '!D20-'Cashflow '!C20)/'Cashflow '!C20</f>
        <v>-0.678306071904853</v>
      </c>
    </row>
    <row r="20" ht="20.05" customHeight="1">
      <c r="B20" s="27"/>
      <c r="C20" s="17">
        <v>11001</v>
      </c>
      <c r="D20" s="18"/>
      <c r="E20" s="18">
        <f>1100-E19</f>
        <v>-1671</v>
      </c>
      <c r="F20" s="18">
        <v>90</v>
      </c>
      <c r="G20" s="18">
        <v>240</v>
      </c>
      <c r="H20" s="18">
        <f>AVERAGE(G17:G20)</f>
        <v>1235.6375</v>
      </c>
      <c r="I20" s="16">
        <f>C20/C19-1</f>
        <v>0.361004577508351</v>
      </c>
      <c r="J20" s="16">
        <f>C20/'Balance sheet'!D16</f>
        <v>0.114599718735351</v>
      </c>
      <c r="K20" s="16">
        <f>(E20+F20+G20-C20)/C20</f>
        <v>-1.12189800927188</v>
      </c>
      <c r="L20" s="16">
        <f>AVERAGE(M17:M20)</f>
        <v>-1.21943483313222</v>
      </c>
      <c r="M20" s="16">
        <f>('Cashflow '!D21-'Cashflow '!C21)/'Cashflow '!C21</f>
        <v>-1.3175570857034</v>
      </c>
    </row>
    <row r="21" ht="20.05" customHeight="1">
      <c r="B21" s="27"/>
      <c r="C21" s="17">
        <v>9205</v>
      </c>
      <c r="D21" s="18"/>
      <c r="E21" s="18">
        <f>1345-SUM(E19:E20)</f>
        <v>245</v>
      </c>
      <c r="F21" s="18">
        <v>73</v>
      </c>
      <c r="G21" s="18">
        <v>599</v>
      </c>
      <c r="H21" s="18">
        <f>AVERAGE(G18:G21)</f>
        <v>125.1375</v>
      </c>
      <c r="I21" s="16">
        <f>C21/C20-1</f>
        <v>-0.163257885646759</v>
      </c>
      <c r="J21" s="16">
        <f>C21/'Balance sheet'!D17</f>
        <v>0.09338825367516509</v>
      </c>
      <c r="K21" s="16">
        <f>(E21+F21+G21-C21)/C21</f>
        <v>-0.900380228136882</v>
      </c>
      <c r="L21" s="16">
        <f>AVERAGE(M18:M21)</f>
        <v>-1.00070749280622</v>
      </c>
      <c r="M21" s="16">
        <f>('Cashflow '!D22-'Cashflow '!C22)/'Cashflow '!C22</f>
        <v>-0.899844868410309</v>
      </c>
    </row>
    <row r="22" ht="20.05" customHeight="1">
      <c r="B22" s="27"/>
      <c r="C22" s="17">
        <f>38259.35-SUM(C19:C21)</f>
        <v>9970.35</v>
      </c>
      <c r="D22" s="18">
        <v>9363.2499222395</v>
      </c>
      <c r="E22" s="18">
        <f>2031.5+1934.1-SUM(E19:E21)</f>
        <v>2620.6</v>
      </c>
      <c r="F22" s="18">
        <f>386.8+15.8-SUM(F19:F21)</f>
        <v>125.6</v>
      </c>
      <c r="G22" s="18">
        <f>559.8-SUM(G19:G21)</f>
        <v>-650.2</v>
      </c>
      <c r="H22" s="18">
        <f>AVERAGE(G19:G22)</f>
        <v>139.95</v>
      </c>
      <c r="I22" s="16">
        <f>C22/C21-1</f>
        <v>0.0831450298750679</v>
      </c>
      <c r="J22" s="16">
        <f>C22/'Balance sheet'!D18</f>
        <v>0.0963129750758112</v>
      </c>
      <c r="K22" s="16">
        <f>(E22+F22+G22-C22)/C22</f>
        <v>-0.789776687879563</v>
      </c>
      <c r="L22" s="16">
        <f>AVERAGE(M19:M22)</f>
        <v>-0.926679911819939</v>
      </c>
      <c r="M22" s="16">
        <f>('Cashflow '!D23-'Cashflow '!C23)/'Cashflow '!C23</f>
        <v>-0.811011621261193</v>
      </c>
    </row>
    <row r="23" ht="20.05" customHeight="1">
      <c r="B23" s="28">
        <v>2021</v>
      </c>
      <c r="C23" s="17">
        <v>10912.8</v>
      </c>
      <c r="D23" s="18">
        <v>10741.4214285714</v>
      </c>
      <c r="E23" s="18">
        <v>194.9</v>
      </c>
      <c r="F23" s="18">
        <f>103.8+2.9</f>
        <v>106.7</v>
      </c>
      <c r="G23" s="18">
        <v>295.8</v>
      </c>
      <c r="H23" s="18">
        <f>AVERAGE(G20:G23)</f>
        <v>121.15</v>
      </c>
      <c r="I23" s="16">
        <f>C23/C22-1</f>
        <v>0.0945252674178941</v>
      </c>
      <c r="J23" s="16">
        <f>C23/'Balance sheet'!D19</f>
        <v>0.0953650078898447</v>
      </c>
      <c r="K23" s="16">
        <f>(E23+F23+G23-C23)/C23</f>
        <v>-0.945256945971703</v>
      </c>
      <c r="L23" s="16">
        <f>AVERAGE(M20:M23)</f>
        <v>-0.851586489169003</v>
      </c>
      <c r="M23" s="16">
        <f>('Cashflow '!D24-'Cashflow '!C24)/'Cashflow '!C24</f>
        <v>-0.377932381301111</v>
      </c>
    </row>
    <row r="24" ht="20.05" customHeight="1">
      <c r="B24" s="27"/>
      <c r="C24" s="17">
        <f>19176-C23</f>
        <v>8263.200000000001</v>
      </c>
      <c r="D24" s="18">
        <v>10959.3438819556</v>
      </c>
      <c r="E24" s="18">
        <f>558.3-E23</f>
        <v>363.4</v>
      </c>
      <c r="F24" s="18">
        <f>207.5+4.2-F23</f>
        <v>105</v>
      </c>
      <c r="G24" s="18">
        <f>628.7-G23</f>
        <v>332.9</v>
      </c>
      <c r="H24" s="18">
        <f>AVERAGE(G21:G24)</f>
        <v>144.375</v>
      </c>
      <c r="I24" s="16">
        <f>C24/C23-1</f>
        <v>-0.242797448867385</v>
      </c>
      <c r="J24" s="16">
        <f>C24/'Balance sheet'!D20</f>
        <v>0.0741193882585101</v>
      </c>
      <c r="K24" s="16">
        <f>(E24+F24+G24-C24)/C24</f>
        <v>-0.903027882660471</v>
      </c>
      <c r="L24" s="16">
        <f>AVERAGE(M21:M24)</f>
        <v>-0.812789796774033</v>
      </c>
      <c r="M24" s="16">
        <f>('Cashflow '!D25-'Cashflow '!C25)/'Cashflow '!C25</f>
        <v>-1.16237031612352</v>
      </c>
    </row>
    <row r="25" ht="20.05" customHeight="1">
      <c r="B25" s="27"/>
      <c r="C25" s="17">
        <f>27502.2-SUM(C23:C24)</f>
        <v>8326.200000000001</v>
      </c>
      <c r="D25" s="18">
        <v>9915.84</v>
      </c>
      <c r="E25" s="18">
        <f>1758-SUM(E23:E24)</f>
        <v>1199.7</v>
      </c>
      <c r="F25" s="18">
        <f>321-SUM(F23:F24)</f>
        <v>109.3</v>
      </c>
      <c r="G25" s="18">
        <f>1567.1-SUM(G23:G24)</f>
        <v>938.4</v>
      </c>
      <c r="H25" s="18">
        <f>AVERAGE(G22:G25)</f>
        <v>229.225</v>
      </c>
      <c r="I25" s="16">
        <f>C25/C24-1</f>
        <v>0.00762416497240778</v>
      </c>
      <c r="J25" s="16">
        <f>C25/'Balance sheet'!D21</f>
        <v>0.075235160704443</v>
      </c>
      <c r="K25" s="16">
        <f>(E25+F25+G25-C25)/C25</f>
        <v>-0.730080949292594</v>
      </c>
      <c r="L25" s="16">
        <f>AVERAGE(M22:M25)</f>
        <v>-0.799378437446425</v>
      </c>
      <c r="M25" s="16">
        <f>('Cashflow '!D26-'Cashflow '!C26)/'Cashflow '!C26</f>
        <v>-0.8461994310998741</v>
      </c>
    </row>
    <row r="26" ht="20.05" customHeight="1">
      <c r="B26" s="27"/>
      <c r="C26" s="17"/>
      <c r="D26" s="18">
        <f>'Model'!C6</f>
        <v>9325.343999999999</v>
      </c>
      <c r="E26" s="18"/>
      <c r="F26" s="18"/>
      <c r="G26" s="18"/>
      <c r="H26" s="18">
        <f>'Model'!F21</f>
        <v>2052.0386248</v>
      </c>
      <c r="I26" s="16"/>
      <c r="J26" s="12"/>
      <c r="K26" s="16">
        <f>'Model'!C7</f>
        <v>-0.730080949292594</v>
      </c>
      <c r="L26" s="30"/>
      <c r="M26" s="16"/>
    </row>
    <row r="27" ht="20.05" customHeight="1">
      <c r="B27" s="28">
        <v>2022</v>
      </c>
      <c r="C27" s="17"/>
      <c r="D27" s="18">
        <f>'Model'!D6</f>
        <v>9232.090560000001</v>
      </c>
      <c r="E27" s="18"/>
      <c r="F27" s="18"/>
      <c r="G27" s="18"/>
      <c r="H27" s="16"/>
      <c r="I27" s="16"/>
      <c r="J27" s="12"/>
      <c r="K27" s="16"/>
      <c r="L27" s="16"/>
      <c r="M27" s="16"/>
    </row>
    <row r="28" ht="20.05" customHeight="1">
      <c r="B28" s="27"/>
      <c r="C28" s="17"/>
      <c r="D28" s="18">
        <f>'Model'!E6</f>
        <v>9693.695088</v>
      </c>
      <c r="E28" s="18"/>
      <c r="F28" s="18"/>
      <c r="G28" s="18"/>
      <c r="H28" s="16"/>
      <c r="I28" s="16"/>
      <c r="J28" s="12"/>
      <c r="K28" s="16"/>
      <c r="L28" s="16"/>
      <c r="M28" s="16"/>
    </row>
    <row r="29" ht="20.05" customHeight="1">
      <c r="B29" s="27"/>
      <c r="C29" s="17"/>
      <c r="D29" s="18">
        <f>'Model'!F6</f>
        <v>10178.3798424</v>
      </c>
      <c r="E29" s="18"/>
      <c r="F29" s="18"/>
      <c r="G29" s="18"/>
      <c r="H29" s="16"/>
      <c r="I29" s="16"/>
      <c r="J29" s="12"/>
      <c r="K29" s="16"/>
      <c r="L29" s="16"/>
      <c r="M29" s="16"/>
    </row>
  </sheetData>
  <mergeCells count="1">
    <mergeCell ref="B1:M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I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98438" style="31" customWidth="1"/>
    <col min="2" max="9" width="12.5547" style="31" customWidth="1"/>
    <col min="10" max="16384" width="16.3516" style="31" customWidth="1"/>
  </cols>
  <sheetData>
    <row r="1" ht="17.35" customHeight="1"/>
    <row r="2" ht="27.65" customHeight="1">
      <c r="B2" t="s" s="2">
        <v>43</v>
      </c>
      <c r="C2" s="2"/>
      <c r="D2" s="2"/>
      <c r="E2" s="2"/>
      <c r="F2" s="2"/>
      <c r="G2" s="2"/>
      <c r="H2" s="2"/>
      <c r="I2" s="2"/>
    </row>
    <row r="3" ht="32.25" customHeight="1">
      <c r="B3" t="s" s="4">
        <v>1</v>
      </c>
      <c r="C3" t="s" s="4">
        <v>44</v>
      </c>
      <c r="D3" t="s" s="4">
        <v>8</v>
      </c>
      <c r="E3" t="s" s="4">
        <v>9</v>
      </c>
      <c r="F3" t="s" s="4">
        <v>10</v>
      </c>
      <c r="G3" t="s" s="4">
        <v>45</v>
      </c>
      <c r="H3" t="s" s="4">
        <v>3</v>
      </c>
      <c r="I3" t="s" s="4">
        <v>26</v>
      </c>
    </row>
    <row r="4" ht="20.25" customHeight="1">
      <c r="B4" s="22">
        <v>2016</v>
      </c>
      <c r="C4" s="23"/>
      <c r="D4" s="24">
        <v>984</v>
      </c>
      <c r="E4" s="24">
        <v>-528</v>
      </c>
      <c r="F4" s="24">
        <v>45</v>
      </c>
      <c r="G4" s="24">
        <f>D4+E4</f>
        <v>456</v>
      </c>
      <c r="H4" s="25"/>
      <c r="I4" s="24">
        <f>-F4</f>
        <v>-45</v>
      </c>
    </row>
    <row r="5" ht="20.05" customHeight="1">
      <c r="B5" s="27"/>
      <c r="C5" s="17"/>
      <c r="D5" s="18">
        <v>-1046</v>
      </c>
      <c r="E5" s="18">
        <v>-53</v>
      </c>
      <c r="F5" s="18">
        <v>32</v>
      </c>
      <c r="G5" s="18">
        <f>D5+E5</f>
        <v>-1099</v>
      </c>
      <c r="H5" s="29"/>
      <c r="I5" s="18">
        <f>-F5+I4</f>
        <v>-77</v>
      </c>
    </row>
    <row r="6" ht="20.05" customHeight="1">
      <c r="B6" s="27"/>
      <c r="C6" s="17"/>
      <c r="D6" s="18">
        <v>394</v>
      </c>
      <c r="E6" s="18">
        <v>-294</v>
      </c>
      <c r="F6" s="18">
        <v>32</v>
      </c>
      <c r="G6" s="18">
        <f>D6+E6</f>
        <v>100</v>
      </c>
      <c r="H6" s="29"/>
      <c r="I6" s="18">
        <f>-F6+I5</f>
        <v>-109</v>
      </c>
    </row>
    <row r="7" ht="20.05" customHeight="1">
      <c r="B7" s="27"/>
      <c r="C7" s="17"/>
      <c r="D7" s="18">
        <v>483</v>
      </c>
      <c r="E7" s="18">
        <v>-17</v>
      </c>
      <c r="F7" s="18">
        <v>440</v>
      </c>
      <c r="G7" s="18">
        <f>D7+E7</f>
        <v>466</v>
      </c>
      <c r="H7" s="29"/>
      <c r="I7" s="18">
        <f>-F7+I6</f>
        <v>-549</v>
      </c>
    </row>
    <row r="8" ht="20.05" customHeight="1">
      <c r="B8" s="28">
        <v>2017</v>
      </c>
      <c r="C8" s="17">
        <v>7366</v>
      </c>
      <c r="D8" s="18">
        <v>-1361</v>
      </c>
      <c r="E8" s="18">
        <v>-125</v>
      </c>
      <c r="F8" s="18">
        <v>788</v>
      </c>
      <c r="G8" s="18">
        <f>D8+E8</f>
        <v>-1486</v>
      </c>
      <c r="H8" s="18">
        <f>AVERAGE(G5:G8)</f>
        <v>-504.75</v>
      </c>
      <c r="I8" s="18">
        <f>-F8+I7</f>
        <v>-1337</v>
      </c>
    </row>
    <row r="9" ht="20.05" customHeight="1">
      <c r="B9" s="27"/>
      <c r="C9" s="17">
        <v>7366</v>
      </c>
      <c r="D9" s="18">
        <v>1028</v>
      </c>
      <c r="E9" s="18">
        <v>-42</v>
      </c>
      <c r="F9" s="18">
        <v>360</v>
      </c>
      <c r="G9" s="18">
        <f>D9+E9</f>
        <v>986</v>
      </c>
      <c r="H9" s="18">
        <f>AVERAGE(G6:G9)</f>
        <v>16.5</v>
      </c>
      <c r="I9" s="18">
        <f>-F9+I8</f>
        <v>-1697</v>
      </c>
    </row>
    <row r="10" ht="20.05" customHeight="1">
      <c r="B10" s="27"/>
      <c r="C10" s="17">
        <v>7366</v>
      </c>
      <c r="D10" s="18">
        <v>-183</v>
      </c>
      <c r="E10" s="18">
        <v>-24</v>
      </c>
      <c r="F10" s="18">
        <v>483</v>
      </c>
      <c r="G10" s="18">
        <f>D10+E10</f>
        <v>-207</v>
      </c>
      <c r="H10" s="18">
        <f>AVERAGE(G7:G10)</f>
        <v>-60.25</v>
      </c>
      <c r="I10" s="18">
        <f>-F10+I9</f>
        <v>-2180</v>
      </c>
    </row>
    <row r="11" ht="20.05" customHeight="1">
      <c r="B11" s="27"/>
      <c r="C11" s="17">
        <v>7366</v>
      </c>
      <c r="D11" s="18">
        <v>-566</v>
      </c>
      <c r="E11" s="18">
        <v>898</v>
      </c>
      <c r="F11" s="18">
        <v>-267</v>
      </c>
      <c r="G11" s="18">
        <f>D11+E11</f>
        <v>332</v>
      </c>
      <c r="H11" s="18">
        <f>AVERAGE(G8:G11)</f>
        <v>-93.75</v>
      </c>
      <c r="I11" s="18">
        <f>-F11+I10</f>
        <v>-1913</v>
      </c>
    </row>
    <row r="12" ht="20.05" customHeight="1">
      <c r="B12" s="28">
        <v>2018</v>
      </c>
      <c r="C12" s="17">
        <v>8598.5</v>
      </c>
      <c r="D12" s="18">
        <v>-729</v>
      </c>
      <c r="E12" s="18">
        <v>-41</v>
      </c>
      <c r="F12" s="18">
        <v>10</v>
      </c>
      <c r="G12" s="18">
        <f>D12+E12</f>
        <v>-770</v>
      </c>
      <c r="H12" s="18">
        <f>AVERAGE(G9:G12)</f>
        <v>85.25</v>
      </c>
      <c r="I12" s="18">
        <f>-F12+I11</f>
        <v>-1923</v>
      </c>
    </row>
    <row r="13" ht="20.05" customHeight="1">
      <c r="B13" s="27"/>
      <c r="C13" s="17">
        <v>8598.5</v>
      </c>
      <c r="D13" s="18">
        <v>50</v>
      </c>
      <c r="E13" s="18">
        <v>-65</v>
      </c>
      <c r="F13" s="18">
        <v>-513</v>
      </c>
      <c r="G13" s="18">
        <f>D13+E13</f>
        <v>-15</v>
      </c>
      <c r="H13" s="18">
        <f>AVERAGE(G10:G13)</f>
        <v>-165</v>
      </c>
      <c r="I13" s="18">
        <f>-F13+I12</f>
        <v>-1410</v>
      </c>
    </row>
    <row r="14" ht="20.05" customHeight="1">
      <c r="B14" s="27"/>
      <c r="C14" s="17">
        <v>8598.5</v>
      </c>
      <c r="D14" s="18">
        <v>-484</v>
      </c>
      <c r="E14" s="18">
        <v>-383</v>
      </c>
      <c r="F14" s="18">
        <v>801</v>
      </c>
      <c r="G14" s="18">
        <f>D14+E14</f>
        <v>-867</v>
      </c>
      <c r="H14" s="18">
        <f>AVERAGE(G11:G14)</f>
        <v>-330</v>
      </c>
      <c r="I14" s="18">
        <f>-F14+I13</f>
        <v>-2211</v>
      </c>
    </row>
    <row r="15" ht="20.05" customHeight="1">
      <c r="B15" s="27"/>
      <c r="C15" s="17">
        <v>8598.5</v>
      </c>
      <c r="D15" s="18">
        <v>412</v>
      </c>
      <c r="E15" s="18">
        <v>-148</v>
      </c>
      <c r="F15" s="18">
        <v>109</v>
      </c>
      <c r="G15" s="18">
        <f>D15+E15</f>
        <v>264</v>
      </c>
      <c r="H15" s="18">
        <f>AVERAGE(G12:G15)</f>
        <v>-347</v>
      </c>
      <c r="I15" s="18">
        <f>-F15+I14</f>
        <v>-2320</v>
      </c>
    </row>
    <row r="16" ht="20.05" customHeight="1">
      <c r="B16" s="28">
        <v>2019</v>
      </c>
      <c r="C16" s="17">
        <v>8112.25</v>
      </c>
      <c r="D16" s="18">
        <v>-147</v>
      </c>
      <c r="E16" s="18">
        <v>-182</v>
      </c>
      <c r="F16" s="18">
        <v>-182</v>
      </c>
      <c r="G16" s="18">
        <f>D16+E16</f>
        <v>-329</v>
      </c>
      <c r="H16" s="18">
        <f>AVERAGE(G13:G16)</f>
        <v>-236.75</v>
      </c>
      <c r="I16" s="18">
        <f>-F16+I15</f>
        <v>-2138</v>
      </c>
    </row>
    <row r="17" ht="20.05" customHeight="1">
      <c r="B17" s="27"/>
      <c r="C17" s="17">
        <v>8112.25</v>
      </c>
      <c r="D17" s="18">
        <v>1621</v>
      </c>
      <c r="E17" s="18">
        <v>-133</v>
      </c>
      <c r="F17" s="18">
        <v>383</v>
      </c>
      <c r="G17" s="18">
        <f>D17+E17</f>
        <v>1488</v>
      </c>
      <c r="H17" s="18">
        <f>AVERAGE(G14:G17)</f>
        <v>139</v>
      </c>
      <c r="I17" s="18">
        <f>-F17+I16</f>
        <v>-2521</v>
      </c>
    </row>
    <row r="18" ht="20.05" customHeight="1">
      <c r="B18" s="27"/>
      <c r="C18" s="17">
        <v>8112.25</v>
      </c>
      <c r="D18" s="18">
        <v>-6285</v>
      </c>
      <c r="E18" s="18">
        <v>3670</v>
      </c>
      <c r="F18" s="18">
        <v>419</v>
      </c>
      <c r="G18" s="18">
        <f>D18+E18</f>
        <v>-2615</v>
      </c>
      <c r="H18" s="18">
        <f>AVERAGE(G15:G18)</f>
        <v>-298</v>
      </c>
      <c r="I18" s="18">
        <f>-F18+I17</f>
        <v>-2940</v>
      </c>
    </row>
    <row r="19" ht="20.05" customHeight="1">
      <c r="B19" s="27"/>
      <c r="C19" s="17">
        <v>8112.25</v>
      </c>
      <c r="D19" s="18">
        <v>-869</v>
      </c>
      <c r="E19" s="18">
        <v>-169</v>
      </c>
      <c r="F19" s="18">
        <v>-154</v>
      </c>
      <c r="G19" s="18">
        <f>D19+E19</f>
        <v>-1038</v>
      </c>
      <c r="H19" s="18">
        <f>AVERAGE(G16:G19)</f>
        <v>-623.5</v>
      </c>
      <c r="I19" s="18">
        <f>-F19+I18</f>
        <v>-2786</v>
      </c>
    </row>
    <row r="20" ht="20.05" customHeight="1">
      <c r="B20" s="28">
        <v>2020</v>
      </c>
      <c r="C20" s="17">
        <v>9185.75</v>
      </c>
      <c r="D20" s="18">
        <v>2955</v>
      </c>
      <c r="E20" s="18">
        <v>-58</v>
      </c>
      <c r="F20" s="18">
        <v>-580</v>
      </c>
      <c r="G20" s="18">
        <f>D20+E20</f>
        <v>2897</v>
      </c>
      <c r="H20" s="18">
        <f>AVERAGE(G17:G20)</f>
        <v>183</v>
      </c>
      <c r="I20" s="18">
        <f>-F20+I19</f>
        <v>-2206</v>
      </c>
    </row>
    <row r="21" ht="20.05" customHeight="1">
      <c r="B21" s="27"/>
      <c r="C21" s="17">
        <v>9185.75</v>
      </c>
      <c r="D21" s="18">
        <v>-2917</v>
      </c>
      <c r="E21" s="18">
        <v>-164</v>
      </c>
      <c r="F21" s="18">
        <v>-331</v>
      </c>
      <c r="G21" s="18">
        <f>D21+E21</f>
        <v>-3081</v>
      </c>
      <c r="H21" s="18">
        <f>AVERAGE(G18:G21)</f>
        <v>-959.25</v>
      </c>
      <c r="I21" s="18">
        <f>-F21+I20</f>
        <v>-1875</v>
      </c>
    </row>
    <row r="22" ht="20.05" customHeight="1">
      <c r="B22" s="27"/>
      <c r="C22" s="17">
        <v>9185.75</v>
      </c>
      <c r="D22" s="18">
        <v>920</v>
      </c>
      <c r="E22" s="18">
        <v>-96</v>
      </c>
      <c r="F22" s="18">
        <v>80</v>
      </c>
      <c r="G22" s="18">
        <f>D22+E22</f>
        <v>824</v>
      </c>
      <c r="H22" s="18">
        <f>AVERAGE(G19:G22)</f>
        <v>-99.5</v>
      </c>
      <c r="I22" s="18">
        <f>-F22+I21</f>
        <v>-1955</v>
      </c>
    </row>
    <row r="23" ht="20.05" customHeight="1">
      <c r="B23" s="27"/>
      <c r="C23" s="17">
        <v>9185.75</v>
      </c>
      <c r="D23" s="18">
        <f>2694-SUM(D20:D22)</f>
        <v>1736</v>
      </c>
      <c r="E23" s="18">
        <f>-605.88-SUM(E20:E22)</f>
        <v>-287.88</v>
      </c>
      <c r="F23" s="18">
        <f>-97.159-SUM(F20:F22)</f>
        <v>733.841</v>
      </c>
      <c r="G23" s="18">
        <f>D23+E23</f>
        <v>1448.12</v>
      </c>
      <c r="H23" s="18">
        <f>AVERAGE(G20:G23)</f>
        <v>522.03</v>
      </c>
      <c r="I23" s="18">
        <f>-F23+I22</f>
        <v>-2688.841</v>
      </c>
    </row>
    <row r="24" ht="20.05" customHeight="1">
      <c r="B24" s="28">
        <v>2021</v>
      </c>
      <c r="C24" s="17">
        <v>8193</v>
      </c>
      <c r="D24" s="18">
        <v>5096.6</v>
      </c>
      <c r="E24" s="18">
        <v>-98.90000000000001</v>
      </c>
      <c r="F24" s="18">
        <v>85</v>
      </c>
      <c r="G24" s="18">
        <f>D24+E24</f>
        <v>4997.7</v>
      </c>
      <c r="H24" s="18">
        <f>AVERAGE(G21:G24)</f>
        <v>1047.205</v>
      </c>
      <c r="I24" s="18">
        <f>-F24+I23</f>
        <v>-2773.841</v>
      </c>
    </row>
    <row r="25" ht="20.05" customHeight="1">
      <c r="B25" s="27"/>
      <c r="C25" s="17">
        <v>8193</v>
      </c>
      <c r="D25" s="18">
        <f>3766.3-D24</f>
        <v>-1330.3</v>
      </c>
      <c r="E25" s="18">
        <f>-184-E24</f>
        <v>-85.09999999999999</v>
      </c>
      <c r="F25" s="18">
        <f>257.4-F24</f>
        <v>172.4</v>
      </c>
      <c r="G25" s="18">
        <f>D25+E25</f>
        <v>-1415.4</v>
      </c>
      <c r="H25" s="18">
        <f>AVERAGE(G22:G25)</f>
        <v>1463.605</v>
      </c>
      <c r="I25" s="18">
        <f>-F25+I24</f>
        <v>-2946.241</v>
      </c>
    </row>
    <row r="26" ht="20.05" customHeight="1">
      <c r="B26" s="27"/>
      <c r="C26" s="17">
        <f>19128.1+3299.9+298.8+4.5+1248.3-SUM(C24:C25)</f>
        <v>7593.6</v>
      </c>
      <c r="D26" s="18">
        <f>4934.2-SUM(D24:D25)</f>
        <v>1167.9</v>
      </c>
      <c r="E26" s="18">
        <f>-196.1-SUM(E24:E25)</f>
        <v>-12.1</v>
      </c>
      <c r="F26" s="18">
        <f>127.4-SUM(F24:F25)</f>
        <v>-130</v>
      </c>
      <c r="G26" s="18">
        <f>D26+E26</f>
        <v>1155.8</v>
      </c>
      <c r="H26" s="18">
        <f>AVERAGE(G23:G26)</f>
        <v>1546.555</v>
      </c>
      <c r="I26" s="18">
        <f>-F26+I25</f>
        <v>-2816.241</v>
      </c>
    </row>
    <row r="27" ht="20.05" customHeight="1">
      <c r="B27" s="27"/>
      <c r="C27" s="17"/>
      <c r="D27" s="18"/>
      <c r="E27" s="18"/>
      <c r="F27" s="18"/>
      <c r="G27" s="18"/>
      <c r="H27" s="18">
        <f>SUM('Model'!F9:F10)</f>
        <v>2735.2386248</v>
      </c>
      <c r="I27" s="18">
        <f>'Model'!F31</f>
        <v>-538.74398376</v>
      </c>
    </row>
  </sheetData>
  <mergeCells count="1">
    <mergeCell ref="B2:I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0.9219" style="32" customWidth="1"/>
    <col min="11" max="16384" width="16.3516" style="32" customWidth="1"/>
  </cols>
  <sheetData>
    <row r="1" ht="27.65" customHeight="1">
      <c r="A1" t="s" s="2">
        <v>46</v>
      </c>
      <c r="B1" s="2"/>
      <c r="C1" s="2"/>
      <c r="D1" s="2"/>
      <c r="E1" s="2"/>
      <c r="F1" s="2"/>
      <c r="G1" s="2"/>
      <c r="H1" s="2"/>
      <c r="I1" s="2"/>
      <c r="J1" s="2"/>
    </row>
    <row r="2" ht="44.25" customHeight="1">
      <c r="A2" t="s" s="4">
        <v>1</v>
      </c>
      <c r="B2" t="s" s="4">
        <v>47</v>
      </c>
      <c r="C2" t="s" s="4">
        <v>48</v>
      </c>
      <c r="D2" t="s" s="4">
        <v>21</v>
      </c>
      <c r="E2" t="s" s="4">
        <v>19</v>
      </c>
      <c r="F2" t="s" s="4">
        <v>23</v>
      </c>
      <c r="G2" t="s" s="4">
        <v>49</v>
      </c>
      <c r="H2" t="s" s="4">
        <v>50</v>
      </c>
      <c r="I2" t="s" s="4">
        <v>51</v>
      </c>
      <c r="J2" t="s" s="4">
        <v>52</v>
      </c>
    </row>
    <row r="3" ht="20.25" customHeight="1">
      <c r="A3" s="22">
        <v>2017</v>
      </c>
      <c r="B3" s="23">
        <v>4338</v>
      </c>
      <c r="C3" s="24">
        <v>79106</v>
      </c>
      <c r="D3" s="24">
        <f>C3-B3</f>
        <v>74768</v>
      </c>
      <c r="E3" s="24">
        <f>24+64+1346</f>
        <v>1434</v>
      </c>
      <c r="F3" s="24">
        <v>57991</v>
      </c>
      <c r="G3" s="24">
        <v>21115</v>
      </c>
      <c r="H3" s="24">
        <f>F3+G3-B3-D3</f>
        <v>0</v>
      </c>
      <c r="I3" s="26"/>
      <c r="J3" s="26"/>
    </row>
    <row r="4" ht="20.05" customHeight="1">
      <c r="A4" s="27"/>
      <c r="B4" s="17">
        <v>5572</v>
      </c>
      <c r="C4" s="18">
        <v>82758</v>
      </c>
      <c r="D4" s="18">
        <f>C4-B4</f>
        <v>77186</v>
      </c>
      <c r="E4" s="18">
        <v>1485</v>
      </c>
      <c r="F4" s="18">
        <v>61284</v>
      </c>
      <c r="G4" s="18">
        <v>21474</v>
      </c>
      <c r="H4" s="18">
        <f>F4+G4-B4-D4</f>
        <v>0</v>
      </c>
      <c r="I4" s="16">
        <f>D4/D3-1</f>
        <v>0.0323400385191526</v>
      </c>
      <c r="J4" s="16">
        <f>F4/F3-1</f>
        <v>0.0567846734838165</v>
      </c>
    </row>
    <row r="5" ht="20.05" customHeight="1">
      <c r="A5" s="27"/>
      <c r="B5" s="17">
        <v>4868</v>
      </c>
      <c r="C5" s="18">
        <v>86967</v>
      </c>
      <c r="D5" s="18">
        <f>C5-B5</f>
        <v>82099</v>
      </c>
      <c r="E5" s="18">
        <f>37+68+1420</f>
        <v>1525</v>
      </c>
      <c r="F5" s="18">
        <v>64963</v>
      </c>
      <c r="G5" s="18">
        <v>22003</v>
      </c>
      <c r="H5" s="18">
        <f>F5+G5-B5-D5</f>
        <v>-1</v>
      </c>
      <c r="I5" s="16">
        <f>D5/D4-1</f>
        <v>0.0636514393801985</v>
      </c>
      <c r="J5" s="16">
        <f>F5/F4-1</f>
        <v>0.0600319822465896</v>
      </c>
    </row>
    <row r="6" ht="20.05" customHeight="1">
      <c r="A6" s="27"/>
      <c r="B6" s="17">
        <v>4352</v>
      </c>
      <c r="C6" s="18">
        <v>89087</v>
      </c>
      <c r="D6" s="18">
        <f>C6-B6</f>
        <v>84735</v>
      </c>
      <c r="E6" s="18">
        <f>57+70+1473</f>
        <v>1600</v>
      </c>
      <c r="F6" s="18">
        <v>66140</v>
      </c>
      <c r="G6" s="18">
        <v>22946</v>
      </c>
      <c r="H6" s="18">
        <f>F6+G6-B6-D6</f>
        <v>-1</v>
      </c>
      <c r="I6" s="16">
        <f>D6/D5-1</f>
        <v>0.0321075774369968</v>
      </c>
      <c r="J6" s="16">
        <f>F6/F5-1</f>
        <v>0.0181180056339763</v>
      </c>
    </row>
    <row r="7" ht="20.05" customHeight="1">
      <c r="A7" s="28">
        <v>2018</v>
      </c>
      <c r="B7" s="17">
        <v>4791</v>
      </c>
      <c r="C7" s="18">
        <v>94182</v>
      </c>
      <c r="D7" s="18">
        <f>C7-B7</f>
        <v>89391</v>
      </c>
      <c r="E7" s="18">
        <f>60+72+1532</f>
        <v>1664</v>
      </c>
      <c r="F7" s="18">
        <v>70968</v>
      </c>
      <c r="G7" s="18">
        <v>23215</v>
      </c>
      <c r="H7" s="18">
        <f>F7+G7-B7-D7</f>
        <v>1</v>
      </c>
      <c r="I7" s="16">
        <f>D7/D6-1</f>
        <v>0.0549477783678527</v>
      </c>
      <c r="J7" s="16">
        <f>F7/F6-1</f>
        <v>0.07299667372240699</v>
      </c>
    </row>
    <row r="8" ht="20.05" customHeight="1">
      <c r="A8" s="27"/>
      <c r="B8" s="17">
        <v>4159</v>
      </c>
      <c r="C8" s="18">
        <v>99470</v>
      </c>
      <c r="D8" s="18">
        <f>C8-B8</f>
        <v>95311</v>
      </c>
      <c r="E8" s="18">
        <f>66+74+1591</f>
        <v>1731</v>
      </c>
      <c r="F8" s="18">
        <v>74348</v>
      </c>
      <c r="G8" s="18">
        <v>25122</v>
      </c>
      <c r="H8" s="18">
        <f>F8+G8-B8-D8</f>
        <v>0</v>
      </c>
      <c r="I8" s="16">
        <f>D8/D7-1</f>
        <v>0.06622590641116</v>
      </c>
      <c r="J8" s="16">
        <f>F8/F7-1</f>
        <v>0.0476270995378199</v>
      </c>
    </row>
    <row r="9" ht="20.05" customHeight="1">
      <c r="A9" s="27"/>
      <c r="B9" s="17">
        <v>3601</v>
      </c>
      <c r="C9" s="18">
        <v>102853</v>
      </c>
      <c r="D9" s="18">
        <f>C9-B9</f>
        <v>99252</v>
      </c>
      <c r="E9" s="18">
        <f>52+76+1655</f>
        <v>1783</v>
      </c>
      <c r="F9" s="18">
        <v>76773</v>
      </c>
      <c r="G9" s="18">
        <v>26080</v>
      </c>
      <c r="H9" s="18">
        <f>F9+G9-B9-D9</f>
        <v>0</v>
      </c>
      <c r="I9" s="16">
        <f>D9/D8-1</f>
        <v>0.0413488474572715</v>
      </c>
      <c r="J9" s="16">
        <f>F9/F8-1</f>
        <v>0.0326168827675257</v>
      </c>
    </row>
    <row r="10" ht="20.05" customHeight="1">
      <c r="A10" s="27"/>
      <c r="B10" s="17">
        <v>3981</v>
      </c>
      <c r="C10" s="18">
        <v>100663</v>
      </c>
      <c r="D10" s="18">
        <f>C10-B10</f>
        <v>96682</v>
      </c>
      <c r="E10" s="18">
        <f>47+79+1711</f>
        <v>1837</v>
      </c>
      <c r="F10" s="18">
        <v>75550</v>
      </c>
      <c r="G10" s="18">
        <v>25113</v>
      </c>
      <c r="H10" s="18">
        <f>F10+G10-B10-D10</f>
        <v>0</v>
      </c>
      <c r="I10" s="16">
        <f>D10/D9-1</f>
        <v>-0.0258936847620199</v>
      </c>
      <c r="J10" s="16">
        <f>F10/F9-1</f>
        <v>-0.0159300795852709</v>
      </c>
    </row>
    <row r="11" ht="20.05" customHeight="1">
      <c r="A11" s="28">
        <v>2019</v>
      </c>
      <c r="B11" s="17">
        <v>4244</v>
      </c>
      <c r="C11" s="18">
        <v>105788</v>
      </c>
      <c r="D11" s="18">
        <f>C11-B11</f>
        <v>101544</v>
      </c>
      <c r="E11" s="18"/>
      <c r="F11" s="18">
        <v>80803</v>
      </c>
      <c r="G11" s="18">
        <v>24985</v>
      </c>
      <c r="H11" s="18">
        <f>F11+G11-B11-D11</f>
        <v>0</v>
      </c>
      <c r="I11" s="16">
        <f>D11/D10-1</f>
        <v>0.050288574915703</v>
      </c>
      <c r="J11" s="16">
        <f>F11/F10-1</f>
        <v>0.06953011250827271</v>
      </c>
    </row>
    <row r="12" ht="20.05" customHeight="1">
      <c r="A12" s="27"/>
      <c r="B12" s="17">
        <v>5045</v>
      </c>
      <c r="C12" s="18">
        <v>109318</v>
      </c>
      <c r="D12" s="18">
        <f>C12-B12</f>
        <v>104273</v>
      </c>
      <c r="E12" s="18">
        <f>131+85+1796</f>
        <v>2012</v>
      </c>
      <c r="F12" s="18">
        <v>83867</v>
      </c>
      <c r="G12" s="18">
        <v>25450</v>
      </c>
      <c r="H12" s="18">
        <f>F12+G12-B12-D12</f>
        <v>-1</v>
      </c>
      <c r="I12" s="16">
        <f>D12/D11-1</f>
        <v>0.0268750492397384</v>
      </c>
      <c r="J12" s="16">
        <f>F12/F11-1</f>
        <v>0.0379193841812804</v>
      </c>
    </row>
    <row r="13" ht="20.05" customHeight="1">
      <c r="A13" s="27"/>
      <c r="B13" s="17">
        <v>5874</v>
      </c>
      <c r="C13" s="18">
        <v>99716</v>
      </c>
      <c r="D13" s="18">
        <f>C13-B13</f>
        <v>93842</v>
      </c>
      <c r="E13" s="18">
        <f>174+87+1743</f>
        <v>2004</v>
      </c>
      <c r="F13" s="18">
        <v>76627</v>
      </c>
      <c r="G13" s="18">
        <v>23088</v>
      </c>
      <c r="H13" s="18">
        <f>F13+G13-B13-D13</f>
        <v>-1</v>
      </c>
      <c r="I13" s="16">
        <f>D13/D12-1</f>
        <v>-0.100035483778159</v>
      </c>
      <c r="J13" s="16">
        <f>F13/F12-1</f>
        <v>-0.08632716086184079</v>
      </c>
    </row>
    <row r="14" ht="20.05" customHeight="1">
      <c r="A14" s="27"/>
      <c r="B14" s="17">
        <v>3564</v>
      </c>
      <c r="C14" s="18">
        <v>99625</v>
      </c>
      <c r="D14" s="18">
        <f>C14-B14</f>
        <v>96061</v>
      </c>
      <c r="E14" s="18">
        <f>90+1796+168</f>
        <v>2054</v>
      </c>
      <c r="F14" s="18">
        <v>77461</v>
      </c>
      <c r="G14" s="18">
        <v>22165</v>
      </c>
      <c r="H14" s="18">
        <f>F14+G14-B14-D14</f>
        <v>1</v>
      </c>
      <c r="I14" s="16">
        <f>D14/D13-1</f>
        <v>0.0236461285991347</v>
      </c>
      <c r="J14" s="16">
        <f>F14/F13-1</f>
        <v>0.0108838921006956</v>
      </c>
    </row>
    <row r="15" ht="20.05" customHeight="1">
      <c r="A15" s="28">
        <v>2020</v>
      </c>
      <c r="B15" s="17">
        <v>3417</v>
      </c>
      <c r="C15" s="18">
        <v>98596</v>
      </c>
      <c r="D15" s="18">
        <f>C15-B15</f>
        <v>95179</v>
      </c>
      <c r="E15" s="18">
        <f>127+85+1956</f>
        <v>2168</v>
      </c>
      <c r="F15" s="18">
        <v>78120</v>
      </c>
      <c r="G15" s="18">
        <v>20475</v>
      </c>
      <c r="H15" s="18">
        <f>F15+G15-B15-D15</f>
        <v>-1</v>
      </c>
      <c r="I15" s="16">
        <f>D15/D14-1</f>
        <v>-0.00918166581651242</v>
      </c>
      <c r="J15" s="16">
        <f>F15/F14-1</f>
        <v>0.00850750700352435</v>
      </c>
    </row>
    <row r="16" ht="20.05" customHeight="1">
      <c r="A16" s="27"/>
      <c r="B16" s="17">
        <v>2716</v>
      </c>
      <c r="C16" s="18">
        <v>98711</v>
      </c>
      <c r="D16" s="18">
        <f>C16-B16</f>
        <v>95995</v>
      </c>
      <c r="E16" s="18">
        <f>124+88+2046</f>
        <v>2258</v>
      </c>
      <c r="F16" s="18">
        <v>77336</v>
      </c>
      <c r="G16" s="18">
        <v>21375</v>
      </c>
      <c r="H16" s="18">
        <f>F16+G16-B16-D16</f>
        <v>0</v>
      </c>
      <c r="I16" s="16">
        <f>D16/D15-1</f>
        <v>0.008573319744901709</v>
      </c>
      <c r="J16" s="16">
        <f>F16/F15-1</f>
        <v>-0.0100358422939068</v>
      </c>
    </row>
    <row r="17" ht="20.05" customHeight="1">
      <c r="A17" s="27"/>
      <c r="B17" s="17">
        <v>3193</v>
      </c>
      <c r="C17" s="18">
        <v>101760</v>
      </c>
      <c r="D17" s="18">
        <f>C17-B17</f>
        <v>98567</v>
      </c>
      <c r="E17" s="18">
        <f>108+90+2133</f>
        <v>2331</v>
      </c>
      <c r="F17" s="18">
        <v>79160</v>
      </c>
      <c r="G17" s="18">
        <v>22600</v>
      </c>
      <c r="H17" s="18">
        <f>F17+G17-B17-D17</f>
        <v>0</v>
      </c>
      <c r="I17" s="16">
        <f>D17/D16-1</f>
        <v>0.0267930621386531</v>
      </c>
      <c r="J17" s="16">
        <f>F17/F16-1</f>
        <v>0.023585393607117</v>
      </c>
    </row>
    <row r="18" ht="20.05" customHeight="1">
      <c r="A18" s="27"/>
      <c r="B18" s="17">
        <v>4935.9</v>
      </c>
      <c r="C18" s="18">
        <v>108456.22</v>
      </c>
      <c r="D18" s="18">
        <f>C18-B18</f>
        <v>103520.32</v>
      </c>
      <c r="E18" s="18">
        <f>127+2134+2</f>
        <v>2263</v>
      </c>
      <c r="F18" s="18">
        <v>85533.98</v>
      </c>
      <c r="G18" s="18">
        <v>22922.24</v>
      </c>
      <c r="H18" s="18">
        <f>F18+G18-B18-D18</f>
        <v>0</v>
      </c>
      <c r="I18" s="16">
        <f>D18/D17-1</f>
        <v>0.0502533302220824</v>
      </c>
      <c r="J18" s="16">
        <f>F18/F17-1</f>
        <v>0.0805202122283982</v>
      </c>
    </row>
    <row r="19" ht="20.05" customHeight="1">
      <c r="A19" s="28">
        <v>2021</v>
      </c>
      <c r="B19" s="17">
        <v>7487.36</v>
      </c>
      <c r="C19" s="18">
        <v>121919.27</v>
      </c>
      <c r="D19" s="18">
        <f>C19-B19</f>
        <v>114431.91</v>
      </c>
      <c r="E19" s="18">
        <f>96+2264+2</f>
        <v>2362</v>
      </c>
      <c r="F19" s="18">
        <v>97964.8</v>
      </c>
      <c r="G19" s="18">
        <v>23954.47</v>
      </c>
      <c r="H19" s="18">
        <f>F19+G19-B19-D19</f>
        <v>0</v>
      </c>
      <c r="I19" s="16">
        <f>D19/D18-1</f>
        <v>0.1054052962742</v>
      </c>
      <c r="J19" s="16">
        <f>F19/F18-1</f>
        <v>0.145331948776381</v>
      </c>
    </row>
    <row r="20" ht="20.05" customHeight="1">
      <c r="A20" s="27"/>
      <c r="B20" s="17">
        <v>4039</v>
      </c>
      <c r="C20" s="18">
        <v>115524</v>
      </c>
      <c r="D20" s="18">
        <f>C20-B20</f>
        <v>111485</v>
      </c>
      <c r="E20" s="18">
        <f>2363+98</f>
        <v>2461</v>
      </c>
      <c r="F20" s="18">
        <v>91449</v>
      </c>
      <c r="G20" s="18">
        <v>24075</v>
      </c>
      <c r="H20" s="18">
        <f>F20+G20-B20-D20</f>
        <v>0</v>
      </c>
      <c r="I20" s="16">
        <f>D20/D19-1</f>
        <v>-0.0257525195550786</v>
      </c>
      <c r="J20" s="16">
        <f>F20/F19-1</f>
        <v>-0.0665116449990201</v>
      </c>
    </row>
    <row r="21" ht="20.05" customHeight="1">
      <c r="A21" s="27"/>
      <c r="B21" s="17">
        <v>4463</v>
      </c>
      <c r="C21" s="18">
        <v>115132</v>
      </c>
      <c r="D21" s="18">
        <f>C21-B21</f>
        <v>110669</v>
      </c>
      <c r="E21" s="18">
        <f>2449+100</f>
        <v>2549</v>
      </c>
      <c r="F21" s="18">
        <v>91392</v>
      </c>
      <c r="G21" s="18">
        <v>23740</v>
      </c>
      <c r="H21" s="18">
        <f>F21+G21-B21-D21</f>
        <v>0</v>
      </c>
      <c r="I21" s="16">
        <f>D21/D20-1</f>
        <v>-0.00731937031887698</v>
      </c>
      <c r="J21" s="16">
        <f>F21/F20-1</f>
        <v>-0.000623298231801332</v>
      </c>
    </row>
    <row r="22" ht="20.05" customHeight="1">
      <c r="A22" s="27"/>
      <c r="B22" s="17"/>
      <c r="C22" s="18"/>
      <c r="D22" s="18"/>
      <c r="E22" s="18"/>
      <c r="F22" s="18"/>
      <c r="G22" s="18"/>
      <c r="H22" s="18"/>
      <c r="I22" s="16"/>
      <c r="J22" s="16"/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35156" style="33" customWidth="1"/>
    <col min="2" max="4" width="10.5234" style="33" customWidth="1"/>
    <col min="5" max="16384" width="16.3516" style="33" customWidth="1"/>
  </cols>
  <sheetData>
    <row r="1" ht="18.65" customHeight="1"/>
    <row r="2" ht="27.65" customHeight="1">
      <c r="B2" t="s" s="2">
        <v>53</v>
      </c>
      <c r="C2" s="2"/>
      <c r="D2" s="2"/>
    </row>
    <row r="3" ht="20.25" customHeight="1">
      <c r="B3" s="34"/>
      <c r="C3" t="s" s="4">
        <v>54</v>
      </c>
      <c r="D3" t="s" s="4">
        <v>55</v>
      </c>
    </row>
    <row r="4" ht="20.25" customHeight="1">
      <c r="B4" s="22">
        <v>2016</v>
      </c>
      <c r="C4" s="23">
        <v>5098.051758</v>
      </c>
      <c r="D4" s="24"/>
    </row>
    <row r="5" ht="20.05" customHeight="1">
      <c r="B5" s="27"/>
      <c r="C5" s="17">
        <v>7996.943848</v>
      </c>
      <c r="D5" s="18"/>
    </row>
    <row r="6" ht="20.05" customHeight="1">
      <c r="B6" s="27"/>
      <c r="C6" s="17">
        <v>8572.882813</v>
      </c>
      <c r="D6" s="18"/>
    </row>
    <row r="7" ht="20.05" customHeight="1">
      <c r="B7" s="27"/>
      <c r="C7" s="17">
        <v>8547.889648</v>
      </c>
      <c r="D7" s="18"/>
    </row>
    <row r="8" ht="20.05" customHeight="1">
      <c r="B8" s="28">
        <v>2017</v>
      </c>
      <c r="C8" s="17">
        <v>8023.018555</v>
      </c>
      <c r="D8" s="18"/>
    </row>
    <row r="9" ht="20.05" customHeight="1">
      <c r="B9" s="27"/>
      <c r="C9" s="17">
        <v>9574.022461</v>
      </c>
      <c r="D9" s="18"/>
    </row>
    <row r="10" ht="20.05" customHeight="1">
      <c r="B10" s="27"/>
      <c r="C10" s="17">
        <v>9973.982421999999</v>
      </c>
      <c r="D10" s="18"/>
    </row>
    <row r="11" ht="20.05" customHeight="1">
      <c r="B11" s="27"/>
      <c r="C11" s="17">
        <v>9898.990234000001</v>
      </c>
      <c r="D11" s="18"/>
    </row>
    <row r="12" ht="20.05" customHeight="1">
      <c r="B12" s="28">
        <v>2018</v>
      </c>
      <c r="C12" s="17">
        <v>9799</v>
      </c>
      <c r="D12" s="18"/>
    </row>
    <row r="13" ht="20.05" customHeight="1">
      <c r="B13" s="27"/>
      <c r="C13" s="17">
        <v>9700</v>
      </c>
      <c r="D13" s="18"/>
    </row>
    <row r="14" ht="20.05" customHeight="1">
      <c r="B14" s="27"/>
      <c r="C14" s="17">
        <v>9900</v>
      </c>
      <c r="D14" s="18"/>
    </row>
    <row r="15" ht="20.05" customHeight="1">
      <c r="B15" s="27"/>
      <c r="C15" s="17">
        <v>8400</v>
      </c>
      <c r="D15" s="18"/>
    </row>
    <row r="16" ht="20.05" customHeight="1">
      <c r="B16" s="28">
        <v>2019</v>
      </c>
      <c r="C16" s="17">
        <v>9700</v>
      </c>
      <c r="D16" s="18"/>
    </row>
    <row r="17" ht="20.05" customHeight="1">
      <c r="B17" s="27"/>
      <c r="C17" s="17">
        <v>10000</v>
      </c>
      <c r="D17" s="18"/>
    </row>
    <row r="18" ht="20.05" customHeight="1">
      <c r="B18" s="27"/>
      <c r="C18" s="17">
        <v>9625</v>
      </c>
      <c r="D18" s="18"/>
    </row>
    <row r="19" ht="20.05" customHeight="1">
      <c r="B19" s="27"/>
      <c r="C19" s="17">
        <v>15225</v>
      </c>
      <c r="D19" s="18"/>
    </row>
    <row r="20" ht="20.05" customHeight="1">
      <c r="B20" s="28">
        <v>2020</v>
      </c>
      <c r="C20" s="17">
        <v>13500</v>
      </c>
      <c r="D20" s="18"/>
    </row>
    <row r="21" ht="20.05" customHeight="1">
      <c r="B21" s="27"/>
      <c r="C21" s="17">
        <v>18300</v>
      </c>
      <c r="D21" s="18"/>
    </row>
    <row r="22" ht="20.05" customHeight="1">
      <c r="B22" s="27"/>
      <c r="C22" s="17">
        <v>16800</v>
      </c>
      <c r="D22" s="18"/>
    </row>
    <row r="23" ht="20.05" customHeight="1">
      <c r="B23" s="27"/>
      <c r="C23" s="17">
        <v>11400</v>
      </c>
      <c r="D23" s="18"/>
    </row>
    <row r="24" ht="20.05" customHeight="1">
      <c r="B24" s="28">
        <v>2021</v>
      </c>
      <c r="C24" s="17">
        <v>14400</v>
      </c>
      <c r="D24" s="18"/>
    </row>
    <row r="25" ht="20.05" customHeight="1">
      <c r="B25" s="27"/>
      <c r="C25" s="17">
        <v>12075</v>
      </c>
      <c r="D25" s="18"/>
    </row>
    <row r="26" ht="20.05" customHeight="1">
      <c r="B26" s="27"/>
      <c r="C26" s="17">
        <v>10600</v>
      </c>
      <c r="D26" s="18"/>
    </row>
    <row r="27" ht="20.05" customHeight="1">
      <c r="B27" s="27"/>
      <c r="C27" s="17">
        <v>11200</v>
      </c>
      <c r="D27" s="18">
        <f>C27</f>
        <v>11200</v>
      </c>
    </row>
    <row r="28" ht="20.05" customHeight="1">
      <c r="B28" s="27"/>
      <c r="C28" s="17"/>
      <c r="D28" s="18">
        <f>'Model'!F40</f>
        <v>24320.0887422098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