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<sst xmlns="http://schemas.openxmlformats.org/spreadsheetml/2006/main" uniqueCount="65">
  <si>
    <t>Financial model</t>
  </si>
  <si>
    <t>Rpbn</t>
  </si>
  <si>
    <t>4Q 2022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</si>
  <si>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</si>
  <si>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</si>
  <si>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</si>
  <si>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</si>
  <si>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</si>
  <si>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</si>
  <si>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</si>
  <si>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 xml:space="preserve">Lease 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</si>
  <si>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</si>
  <si>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</si>
  <si>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</si>
  <si>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</si>
  <si>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</si>
  <si>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</si>
  <si>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 xml:space="preserve">Change </t>
  </si>
  <si>
    <t>Ending</t>
  </si>
  <si>
    <t>Profit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</si>
  <si>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</si>
  <si>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</si>
  <si>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</si>
  <si>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</si>
  <si>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</si>
  <si>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>Net other assets</t>
  </si>
  <si>
    <t>Check</t>
  </si>
  <si>
    <t xml:space="preserve">Net debt </t>
  </si>
  <si>
    <t xml:space="preserve">Valuation </t>
  </si>
  <si>
    <t>Capital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</si>
  <si>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</si>
  <si>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</si>
  <si>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</si>
  <si>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</si>
  <si>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</si>
  <si>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</si>
  <si>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</si>
  <si>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</si>
  <si>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</si>
  <si>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</si>
  <si>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</si>
  <si>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</si>
  <si>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</si>
  <si>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Profit quarterly</t>
  </si>
  <si>
    <t>Sales growth</t>
  </si>
  <si>
    <t>Cashflow costs</t>
  </si>
  <si>
    <t>Cash flow quarterly</t>
  </si>
  <si>
    <t xml:space="preserve">Receipts </t>
  </si>
  <si>
    <t xml:space="preserve">Operating </t>
  </si>
  <si>
    <t xml:space="preserve">Investment </t>
  </si>
  <si>
    <t>Lease payment</t>
  </si>
  <si>
    <t xml:space="preserve">Equity </t>
  </si>
  <si>
    <t xml:space="preserve">Free cashflow </t>
  </si>
  <si>
    <t xml:space="preserve">Capital </t>
  </si>
  <si>
    <t>Balance sheet</t>
  </si>
  <si>
    <t>Cash</t>
  </si>
  <si>
    <t>Assets</t>
  </si>
  <si>
    <t>Other assets</t>
  </si>
  <si>
    <t>Syirkah + Equity</t>
  </si>
  <si>
    <t>Net cash</t>
  </si>
  <si>
    <t>Share price</t>
  </si>
  <si>
    <t>SMGR</t>
  </si>
  <si>
    <t xml:space="preserve">Previous </t>
  </si>
  <si>
    <t xml:space="preserve">Total </t>
  </si>
  <si>
    <t xml:space="preserve">Pages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</si>
</sst>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3186"/>
          <c:y val="0.0446026"/>
          <c:w val="0.82835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'Capital'!$E$3:$E$22</c:f>
              <c:numCache>
                <c:ptCount val="20"/>
                <c:pt idx="0">
                  <c:v>-2275.882000</c:v>
                </c:pt>
                <c:pt idx="1">
                  <c:v>-3098.261000</c:v>
                </c:pt>
                <c:pt idx="2">
                  <c:v>-3389.428000</c:v>
                </c:pt>
                <c:pt idx="3">
                  <c:v>-3746.491000</c:v>
                </c:pt>
                <c:pt idx="4">
                  <c:v>-4376.840000</c:v>
                </c:pt>
                <c:pt idx="5">
                  <c:v>-4441.583000</c:v>
                </c:pt>
                <c:pt idx="6">
                  <c:v>-4523.088000</c:v>
                </c:pt>
                <c:pt idx="7">
                  <c:v>-4532.178000</c:v>
                </c:pt>
                <c:pt idx="8">
                  <c:v>-4015.616000</c:v>
                </c:pt>
                <c:pt idx="9">
                  <c:v>-2907.616000</c:v>
                </c:pt>
                <c:pt idx="10">
                  <c:v>-2078.395000</c:v>
                </c:pt>
                <c:pt idx="11">
                  <c:v>-2147.648000</c:v>
                </c:pt>
                <c:pt idx="12">
                  <c:v>-2647.838000</c:v>
                </c:pt>
                <c:pt idx="13">
                  <c:v>-3069.790000</c:v>
                </c:pt>
                <c:pt idx="14">
                  <c:v>-2031.664000</c:v>
                </c:pt>
                <c:pt idx="15">
                  <c:v>1418.741000</c:v>
                </c:pt>
                <c:pt idx="16">
                  <c:v>528.512000</c:v>
                </c:pt>
                <c:pt idx="17">
                  <c:v>12396.512000</c:v>
                </c:pt>
                <c:pt idx="18">
                  <c:v>7012.912000</c:v>
                </c:pt>
                <c:pt idx="19">
                  <c:v>4881.522000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'Capital'!$F$3:$F$22</c:f>
              <c:numCache>
                <c:ptCount val="20"/>
                <c:pt idx="0">
                  <c:v>-158.733000</c:v>
                </c:pt>
                <c:pt idx="1">
                  <c:v>-226.963000</c:v>
                </c:pt>
                <c:pt idx="2">
                  <c:v>-370.220000</c:v>
                </c:pt>
                <c:pt idx="3">
                  <c:v>-528.894000</c:v>
                </c:pt>
                <c:pt idx="4">
                  <c:v>-791.731000</c:v>
                </c:pt>
                <c:pt idx="5">
                  <c:v>-1439.491000</c:v>
                </c:pt>
                <c:pt idx="6">
                  <c:v>-2517.717000</c:v>
                </c:pt>
                <c:pt idx="7">
                  <c:v>-3722.092000</c:v>
                </c:pt>
                <c:pt idx="8">
                  <c:v>-5564.664000</c:v>
                </c:pt>
                <c:pt idx="9">
                  <c:v>-7049.923000</c:v>
                </c:pt>
                <c:pt idx="10">
                  <c:v>-9025.963000</c:v>
                </c:pt>
                <c:pt idx="11">
                  <c:v>-11237.327000</c:v>
                </c:pt>
                <c:pt idx="12">
                  <c:v>-13663.869000</c:v>
                </c:pt>
                <c:pt idx="13">
                  <c:v>-15900.164000</c:v>
                </c:pt>
                <c:pt idx="14">
                  <c:v>-17718.668000</c:v>
                </c:pt>
                <c:pt idx="15">
                  <c:v>-19542.938000</c:v>
                </c:pt>
                <c:pt idx="16">
                  <c:v>-20370.048000</c:v>
                </c:pt>
                <c:pt idx="17">
                  <c:v>-21615.048000</c:v>
                </c:pt>
                <c:pt idx="18">
                  <c:v>-21869.448000</c:v>
                </c:pt>
                <c:pt idx="19">
                  <c:v>-23002.048000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'Capital'!$A$3:$A$22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'Capital'!$G$3:$G$22</c:f>
              <c:numCache>
                <c:ptCount val="20"/>
                <c:pt idx="0">
                  <c:v>-2434.615000</c:v>
                </c:pt>
                <c:pt idx="1">
                  <c:v>-3325.224000</c:v>
                </c:pt>
                <c:pt idx="2">
                  <c:v>-3759.648000</c:v>
                </c:pt>
                <c:pt idx="3">
                  <c:v>-4275.385000</c:v>
                </c:pt>
                <c:pt idx="4">
                  <c:v>-5168.571000</c:v>
                </c:pt>
                <c:pt idx="5">
                  <c:v>-5881.074000</c:v>
                </c:pt>
                <c:pt idx="6">
                  <c:v>-7040.805000</c:v>
                </c:pt>
                <c:pt idx="7">
                  <c:v>-8254.270000</c:v>
                </c:pt>
                <c:pt idx="8">
                  <c:v>-9580.280000</c:v>
                </c:pt>
                <c:pt idx="9">
                  <c:v>-9957.539000</c:v>
                </c:pt>
                <c:pt idx="10">
                  <c:v>-11104.358000</c:v>
                </c:pt>
                <c:pt idx="11">
                  <c:v>-13384.975000</c:v>
                </c:pt>
                <c:pt idx="12">
                  <c:v>-16311.707000</c:v>
                </c:pt>
                <c:pt idx="13">
                  <c:v>-18969.954000</c:v>
                </c:pt>
                <c:pt idx="14">
                  <c:v>-19750.332000</c:v>
                </c:pt>
                <c:pt idx="15">
                  <c:v>-18124.197000</c:v>
                </c:pt>
                <c:pt idx="16">
                  <c:v>-19841.536000</c:v>
                </c:pt>
                <c:pt idx="17">
                  <c:v>-9218.536000</c:v>
                </c:pt>
                <c:pt idx="18">
                  <c:v>-14856.536000</c:v>
                </c:pt>
                <c:pt idx="19">
                  <c:v>-18120.526000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1250"/>
        <c:minorUnit val="5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75534"/>
          <c:y val="0.0442089"/>
          <c:w val="0.42838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458929</xdr:colOff>
      <xdr:row>1</xdr:row>
      <xdr:rowOff>103479</xdr:rowOff>
    </xdr:from>
    <xdr:to>
      <xdr:col>13</xdr:col>
      <xdr:colOff>1024991</xdr:colOff>
      <xdr:row>49</xdr:row>
      <xdr:rowOff>20150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37329" y="880719"/>
          <a:ext cx="9278263" cy="122388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152399</xdr:colOff>
      <xdr:row>30</xdr:row>
      <xdr:rowOff>27380</xdr:rowOff>
    </xdr:from>
    <xdr:to>
      <xdr:col>4</xdr:col>
      <xdr:colOff>59626</xdr:colOff>
      <xdr:row>43</xdr:row>
      <xdr:rowOff>79006</xdr:rowOff>
    </xdr:to>
    <xdr:graphicFrame>
      <xdr:nvGraphicFramePr>
        <xdr:cNvPr id="4" name="2D Line Chart"/>
        <xdr:cNvGraphicFramePr/>
      </xdr:nvGraphicFramePr>
      <xdr:xfrm>
        <a:off x="152399" y="7752790"/>
        <a:ext cx="3602928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13401</xdr:rowOff>
    </xdr:from>
    <xdr:to>
      <xdr:col>4</xdr:col>
      <xdr:colOff>598108</xdr:colOff>
      <xdr:row>30</xdr:row>
      <xdr:rowOff>170453</xdr:rowOff>
    </xdr:to>
    <xdr:sp>
      <xdr:nvSpPr>
        <xdr:cNvPr id="5" name="SMGR LESS GREAT SINCE 2011, NO NEW CAPITAL PAID SINCE 2018"/>
        <xdr:cNvSpPr txBox="1"/>
      </xdr:nvSpPr>
      <xdr:spPr>
        <a:xfrm>
          <a:off x="-26565" y="6475161"/>
          <a:ext cx="4293809" cy="14207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SMGR LESS GREAT SINCE 2011,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NO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NEW CAPITAL PAID SINCE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8906" style="1" customWidth="1"/>
    <col min="2" max="2" width="16.5938" style="1" customWidth="1"/>
    <col min="3" max="6" width="9.84375" style="1" customWidth="1"/>
    <col min="7" max="16384" width="16.3516" style="1" customWidth="1"/>
  </cols>
  <sheetData>
    <row r="1" ht="61.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0.0074811967108263</v>
      </c>
      <c r="D4" s="8"/>
      <c r="E4" s="8"/>
      <c r="F4" s="9">
        <f>AVERAGE(C5:F5)</f>
        <v>0.055</v>
      </c>
    </row>
    <row r="5" ht="20.05" customHeight="1">
      <c r="B5" t="s" s="10">
        <v>4</v>
      </c>
      <c r="C5" s="11">
        <v>-0.1</v>
      </c>
      <c r="D5" s="12">
        <v>0.01</v>
      </c>
      <c r="E5" s="12">
        <v>0.25</v>
      </c>
      <c r="F5" s="12">
        <v>0.06</v>
      </c>
    </row>
    <row r="6" ht="20.05" customHeight="1">
      <c r="B6" t="s" s="10">
        <v>5</v>
      </c>
      <c r="C6" s="13">
        <f>'Sales'!C31*(1+C5)</f>
        <v>8664.75</v>
      </c>
      <c r="D6" s="14">
        <f>C6*(1+D5)</f>
        <v>8751.397499999999</v>
      </c>
      <c r="E6" s="14">
        <f>D6*(1+E5)</f>
        <v>10939.246875</v>
      </c>
      <c r="F6" s="14">
        <f>E6*(1+F5)</f>
        <v>11595.6016875</v>
      </c>
    </row>
    <row r="7" ht="20.05" customHeight="1">
      <c r="B7" t="s" s="10">
        <v>6</v>
      </c>
      <c r="C7" s="15">
        <f>AVERAGE('Sales'!H31)</f>
        <v>-0.844455985458323</v>
      </c>
      <c r="D7" s="16">
        <f>C7</f>
        <v>-0.844455985458323</v>
      </c>
      <c r="E7" s="16">
        <f>D7</f>
        <v>-0.844455985458323</v>
      </c>
      <c r="F7" s="16">
        <f>E7</f>
        <v>-0.844455985458323</v>
      </c>
    </row>
    <row r="8" ht="20.05" customHeight="1">
      <c r="B8" t="s" s="10">
        <v>7</v>
      </c>
      <c r="C8" s="17">
        <f>C7*C6</f>
        <v>-7317</v>
      </c>
      <c r="D8" s="18">
        <f>D7*D6</f>
        <v>-7390.17</v>
      </c>
      <c r="E8" s="18">
        <f>E7*E6</f>
        <v>-9237.712500000011</v>
      </c>
      <c r="F8" s="18">
        <f>F7*F6</f>
        <v>-9791.975250000010</v>
      </c>
    </row>
    <row r="9" ht="20.05" customHeight="1">
      <c r="B9" t="s" s="10">
        <v>8</v>
      </c>
      <c r="C9" s="17">
        <f>C6+C8</f>
        <v>1347.75</v>
      </c>
      <c r="D9" s="18">
        <f>D6+D8</f>
        <v>1361.2275</v>
      </c>
      <c r="E9" s="18">
        <f>E6+E8</f>
        <v>1701.534374999990</v>
      </c>
      <c r="F9" s="18">
        <f>F6+F8</f>
        <v>1803.626437499990</v>
      </c>
    </row>
    <row r="10" ht="20.05" customHeight="1">
      <c r="B10" t="s" s="10">
        <v>9</v>
      </c>
      <c r="C10" s="17">
        <f>AVERAGE('Cashflow'!E27:E30)</f>
        <v>-447.25</v>
      </c>
      <c r="D10" s="18">
        <f>C10</f>
        <v>-447.25</v>
      </c>
      <c r="E10" s="18">
        <f>D10</f>
        <v>-447.25</v>
      </c>
      <c r="F10" s="18">
        <f>E10</f>
        <v>-447.25</v>
      </c>
    </row>
    <row r="11" ht="20.05" customHeight="1">
      <c r="B11" t="s" s="10">
        <v>10</v>
      </c>
      <c r="C11" s="17">
        <f>'Cashflow'!F30</f>
        <v>-134.5</v>
      </c>
      <c r="D11" s="18">
        <f>C11</f>
        <v>-134.5</v>
      </c>
      <c r="E11" s="18">
        <f>D11</f>
        <v>-134.5</v>
      </c>
      <c r="F11" s="18">
        <f>E11</f>
        <v>-134.5</v>
      </c>
    </row>
    <row r="12" ht="20.05" customHeight="1">
      <c r="B12" t="s" s="10">
        <v>11</v>
      </c>
      <c r="C12" s="17">
        <f>C13+C14+C16</f>
        <v>-766</v>
      </c>
      <c r="D12" s="18">
        <f>D13+D14+D16</f>
        <v>-779.4775</v>
      </c>
      <c r="E12" s="18">
        <f>E13+E14+E16</f>
        <v>-1119.784374999990</v>
      </c>
      <c r="F12" s="18">
        <f>F13+F14+F16</f>
        <v>-1221.876437499990</v>
      </c>
    </row>
    <row r="13" ht="20.05" customHeight="1">
      <c r="B13" t="s" s="10">
        <v>12</v>
      </c>
      <c r="C13" s="17">
        <f>-('Balance sheet'!G31)/20</f>
        <v>-1747</v>
      </c>
      <c r="D13" s="18">
        <f>-C27/20</f>
        <v>-1652.925</v>
      </c>
      <c r="E13" s="18">
        <f>-D27/20</f>
        <v>-1563.55375</v>
      </c>
      <c r="F13" s="18">
        <f>-E27/20</f>
        <v>-1478.6510625</v>
      </c>
    </row>
    <row r="14" ht="20.05" customHeight="1">
      <c r="B14" t="s" s="10">
        <v>13</v>
      </c>
      <c r="C14" s="17">
        <f>IF(C22&gt;0,-C22*0.3,0)</f>
        <v>-160.215</v>
      </c>
      <c r="D14" s="18">
        <f>IF(D22&gt;0,-D22*0.3,0)</f>
        <v>-164.25825</v>
      </c>
      <c r="E14" s="18">
        <f>IF(E22&gt;0,-E22*0.3,0)</f>
        <v>-266.350312499997</v>
      </c>
      <c r="F14" s="18">
        <f>IF(F22&gt;0,-F22*0.3,0)</f>
        <v>-296.977931249997</v>
      </c>
    </row>
    <row r="15" ht="20.05" customHeight="1">
      <c r="B15" t="s" s="10">
        <v>14</v>
      </c>
      <c r="C15" s="17">
        <f>C9+C10+C13+C14+C11</f>
        <v>-1141.215</v>
      </c>
      <c r="D15" s="18">
        <f>D9+D10+D13+D14+D11</f>
        <v>-1037.70575</v>
      </c>
      <c r="E15" s="18">
        <f>E9+E10+E13+E14+E11</f>
        <v>-710.119687500007</v>
      </c>
      <c r="F15" s="18">
        <f>F9+F10+F13+F14+F11</f>
        <v>-553.752556250007</v>
      </c>
    </row>
    <row r="16" ht="20.05" customHeight="1">
      <c r="B16" t="s" s="10">
        <v>15</v>
      </c>
      <c r="C16" s="17">
        <f>-MIN(0,C15)</f>
        <v>1141.215</v>
      </c>
      <c r="D16" s="18">
        <f>-MIN(C28,D15)</f>
        <v>1037.70575</v>
      </c>
      <c r="E16" s="18">
        <f>-MIN(D28,E15)</f>
        <v>710.119687500007</v>
      </c>
      <c r="F16" s="18">
        <f>-MIN(E28,F15)</f>
        <v>553.752556250007</v>
      </c>
    </row>
    <row r="17" ht="20.05" customHeight="1">
      <c r="B17" t="s" s="10">
        <v>16</v>
      </c>
      <c r="C17" s="17">
        <f>'Balance sheet'!C31</f>
        <v>2470</v>
      </c>
      <c r="D17" s="18">
        <f>C19</f>
        <v>2470</v>
      </c>
      <c r="E17" s="18">
        <f>D19</f>
        <v>2470</v>
      </c>
      <c r="F17" s="18">
        <f>E19</f>
        <v>2470</v>
      </c>
    </row>
    <row r="18" ht="20.05" customHeight="1">
      <c r="B18" t="s" s="10">
        <v>17</v>
      </c>
      <c r="C18" s="17">
        <f>C9+C10+C12+C11</f>
        <v>0</v>
      </c>
      <c r="D18" s="18">
        <f>D9+D10+D12+D11</f>
        <v>0</v>
      </c>
      <c r="E18" s="18">
        <f>E9+E10+E12+E11</f>
        <v>0</v>
      </c>
      <c r="F18" s="18">
        <f>F9+F10+F12+F11</f>
        <v>0</v>
      </c>
    </row>
    <row r="19" ht="20.05" customHeight="1">
      <c r="B19" t="s" s="10">
        <v>18</v>
      </c>
      <c r="C19" s="17">
        <f>C17+C18</f>
        <v>2470</v>
      </c>
      <c r="D19" s="18">
        <f>D17+D18</f>
        <v>2470</v>
      </c>
      <c r="E19" s="18">
        <f>E17+E18</f>
        <v>2470</v>
      </c>
      <c r="F19" s="18">
        <f>F17+F18</f>
        <v>2470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-AVERAGE('Sales'!E29:E31)</f>
        <v>-813.7</v>
      </c>
      <c r="D21" s="18">
        <f>C21</f>
        <v>-813.7</v>
      </c>
      <c r="E21" s="18">
        <f>D21</f>
        <v>-813.7</v>
      </c>
      <c r="F21" s="18">
        <f>E21</f>
        <v>-813.7</v>
      </c>
    </row>
    <row r="22" ht="20.05" customHeight="1">
      <c r="B22" t="s" s="10">
        <v>21</v>
      </c>
      <c r="C22" s="17">
        <f>C6+C8+C21</f>
        <v>534.05</v>
      </c>
      <c r="D22" s="18">
        <f>D6+D8+D21</f>
        <v>547.5275</v>
      </c>
      <c r="E22" s="18">
        <f>E6+E8+E21</f>
        <v>887.834374999990</v>
      </c>
      <c r="F22" s="18">
        <f>F6+F8+F21</f>
        <v>989.926437499990</v>
      </c>
    </row>
    <row r="23" ht="20.05" customHeight="1">
      <c r="B23" t="s" s="19">
        <v>22</v>
      </c>
      <c r="C23" s="20"/>
      <c r="D23" s="21"/>
      <c r="E23" s="21"/>
      <c r="F23" s="22"/>
    </row>
    <row r="24" ht="20.05" customHeight="1">
      <c r="B24" t="s" s="10">
        <v>23</v>
      </c>
      <c r="C24" s="17">
        <f>'Balance sheet'!E31+'Balance sheet'!F31-C10</f>
        <v>100426.25</v>
      </c>
      <c r="D24" s="18">
        <f>C24-D10</f>
        <v>100873.5</v>
      </c>
      <c r="E24" s="18">
        <f>D24-E10</f>
        <v>101320.75</v>
      </c>
      <c r="F24" s="18">
        <f>E24-F10</f>
        <v>101768</v>
      </c>
    </row>
    <row r="25" ht="20.05" customHeight="1">
      <c r="B25" t="s" s="10">
        <v>24</v>
      </c>
      <c r="C25" s="17">
        <f>'Balance sheet'!F31-C21</f>
        <v>26758.7</v>
      </c>
      <c r="D25" s="18">
        <f>C25-D21</f>
        <v>27572.4</v>
      </c>
      <c r="E25" s="18">
        <f>D25-E21</f>
        <v>28386.1</v>
      </c>
      <c r="F25" s="18">
        <f>E25-F21</f>
        <v>29199.8</v>
      </c>
    </row>
    <row r="26" ht="20.05" customHeight="1">
      <c r="B26" t="s" s="10">
        <v>25</v>
      </c>
      <c r="C26" s="17">
        <f>C24-C25</f>
        <v>73667.55</v>
      </c>
      <c r="D26" s="18">
        <f>D24-D25</f>
        <v>73301.100000000006</v>
      </c>
      <c r="E26" s="18">
        <f>E24-E25</f>
        <v>72934.649999999994</v>
      </c>
      <c r="F26" s="18">
        <f>F24-F25</f>
        <v>72568.2</v>
      </c>
    </row>
    <row r="27" ht="20.05" customHeight="1">
      <c r="B27" t="s" s="10">
        <v>12</v>
      </c>
      <c r="C27" s="17">
        <f>'Balance sheet'!G31+C13+C11</f>
        <v>33058.5</v>
      </c>
      <c r="D27" s="18">
        <f>C27+D13+D11</f>
        <v>31271.075</v>
      </c>
      <c r="E27" s="18">
        <f>D27+E13+E11</f>
        <v>29573.02125</v>
      </c>
      <c r="F27" s="18">
        <f>E27+F13+F11</f>
        <v>27959.8701875</v>
      </c>
    </row>
    <row r="28" ht="20.05" customHeight="1">
      <c r="B28" t="s" s="10">
        <v>15</v>
      </c>
      <c r="C28" s="17">
        <f>C16</f>
        <v>1141.215</v>
      </c>
      <c r="D28" s="18">
        <f>C28+D16</f>
        <v>2178.92075</v>
      </c>
      <c r="E28" s="18">
        <f>D28+E16</f>
        <v>2889.040437500010</v>
      </c>
      <c r="F28" s="18">
        <f>E28+F16</f>
        <v>3442.792993750020</v>
      </c>
    </row>
    <row r="29" ht="20.05" customHeight="1">
      <c r="B29" t="s" s="10">
        <v>13</v>
      </c>
      <c r="C29" s="17">
        <f>'Balance sheet'!H31+C22+C14</f>
        <v>41937.835</v>
      </c>
      <c r="D29" s="18">
        <f>C29+D22+D14</f>
        <v>42321.10425</v>
      </c>
      <c r="E29" s="18">
        <f>D29+E22+E14</f>
        <v>42942.5883125</v>
      </c>
      <c r="F29" s="18">
        <f>E29+F22+F14</f>
        <v>43635.53681875</v>
      </c>
    </row>
    <row r="30" ht="20.05" customHeight="1">
      <c r="B30" t="s" s="10">
        <v>26</v>
      </c>
      <c r="C30" s="17">
        <f>C27+C28+C29-C19-C26</f>
        <v>0</v>
      </c>
      <c r="D30" s="18">
        <f>D27+D28+D29-D19-D26</f>
        <v>0</v>
      </c>
      <c r="E30" s="18">
        <f>E27+E28+E29-E19-E26</f>
        <v>9.999999999999999e-12</v>
      </c>
      <c r="F30" s="18">
        <f>F27+F28+F29-F19-F26</f>
        <v>2e-11</v>
      </c>
    </row>
    <row r="31" ht="20.05" customHeight="1">
      <c r="B31" t="s" s="10">
        <v>27</v>
      </c>
      <c r="C31" s="17">
        <f>C19-C27-C28</f>
        <v>-31729.715</v>
      </c>
      <c r="D31" s="18">
        <f>D19-D27-D28</f>
        <v>-30979.99575</v>
      </c>
      <c r="E31" s="18">
        <f>E19-E27-E28</f>
        <v>-29992.0616875</v>
      </c>
      <c r="F31" s="18">
        <f>F19-F27-F28</f>
        <v>-28932.66318125</v>
      </c>
    </row>
    <row r="32" ht="20.05" customHeight="1">
      <c r="B32" t="s" s="19">
        <v>28</v>
      </c>
      <c r="C32" s="20"/>
      <c r="D32" s="21"/>
      <c r="E32" s="21"/>
      <c r="F32" s="21"/>
    </row>
    <row r="33" ht="20.05" customHeight="1">
      <c r="B33" t="s" s="10">
        <v>29</v>
      </c>
      <c r="C33" s="17">
        <f>'Cashflow'!K30-(C12-C11)</f>
        <v>1856.5</v>
      </c>
      <c r="D33" s="18">
        <f>C33-(D12-D11)</f>
        <v>2501.4775</v>
      </c>
      <c r="E33" s="18">
        <f>D33-(E12-E11)</f>
        <v>3486.761874999990</v>
      </c>
      <c r="F33" s="18">
        <f>E33-(F12-F11)</f>
        <v>4574.138312499980</v>
      </c>
    </row>
    <row r="34" ht="20.05" customHeight="1">
      <c r="B34" t="s" s="10">
        <v>30</v>
      </c>
      <c r="C34" s="20"/>
      <c r="D34" s="18"/>
      <c r="E34" s="18"/>
      <c r="F34" s="18">
        <v>42706944000000</v>
      </c>
    </row>
    <row r="35" ht="20.05" customHeight="1">
      <c r="B35" t="s" s="10">
        <v>30</v>
      </c>
      <c r="C35" s="20"/>
      <c r="D35" s="18"/>
      <c r="E35" s="18"/>
      <c r="F35" s="18">
        <f>F34/1009000000</f>
        <v>42326.0099108028</v>
      </c>
    </row>
    <row r="36" ht="20.05" customHeight="1">
      <c r="B36" t="s" s="10">
        <v>31</v>
      </c>
      <c r="C36" s="20"/>
      <c r="D36" s="18"/>
      <c r="E36" s="18"/>
      <c r="F36" s="23">
        <f>F35/(F19+F26)</f>
        <v>0.564059504503077</v>
      </c>
    </row>
    <row r="37" ht="20.05" customHeight="1">
      <c r="B37" t="s" s="10">
        <v>32</v>
      </c>
      <c r="C37" s="20"/>
      <c r="D37" s="18"/>
      <c r="E37" s="18"/>
      <c r="F37" s="16">
        <f>-(C14+D14+E14+F14)/F35</f>
        <v>0.0209753174376922</v>
      </c>
    </row>
    <row r="38" ht="20.05" customHeight="1">
      <c r="B38" t="s" s="10">
        <v>33</v>
      </c>
      <c r="C38" s="20"/>
      <c r="D38" s="18"/>
      <c r="E38" s="18"/>
      <c r="F38" s="18">
        <f>SUM(C9:F11)</f>
        <v>3887.138312499980</v>
      </c>
    </row>
    <row r="39" ht="20.05" customHeight="1">
      <c r="B39" t="s" s="10">
        <v>34</v>
      </c>
      <c r="C39" s="20"/>
      <c r="D39" s="18"/>
      <c r="E39" s="18"/>
      <c r="F39" s="18">
        <f>'Balance sheet'!E31/F38</f>
        <v>19.0458877580782</v>
      </c>
    </row>
    <row r="40" ht="20.05" customHeight="1">
      <c r="B40" t="s" s="10">
        <v>28</v>
      </c>
      <c r="C40" s="20"/>
      <c r="D40" s="18"/>
      <c r="E40" s="18"/>
      <c r="F40" s="18">
        <f>F35/F38</f>
        <v>10.8887326634851</v>
      </c>
    </row>
    <row r="41" ht="20.05" customHeight="1">
      <c r="B41" t="s" s="10">
        <v>35</v>
      </c>
      <c r="C41" s="20"/>
      <c r="D41" s="18"/>
      <c r="E41" s="18"/>
      <c r="F41" s="18">
        <v>17</v>
      </c>
    </row>
    <row r="42" ht="20.05" customHeight="1">
      <c r="B42" t="s" s="10">
        <v>36</v>
      </c>
      <c r="C42" s="20"/>
      <c r="D42" s="18"/>
      <c r="E42" s="18"/>
      <c r="F42" s="18">
        <f>F38*F41</f>
        <v>66081.3513124997</v>
      </c>
    </row>
    <row r="43" ht="20.05" customHeight="1">
      <c r="B43" t="s" s="10">
        <v>37</v>
      </c>
      <c r="C43" s="20"/>
      <c r="D43" s="18"/>
      <c r="E43" s="18"/>
      <c r="F43" s="18">
        <f>F35/F45</f>
        <v>5.8786124876115</v>
      </c>
    </row>
    <row r="44" ht="20.05" customHeight="1">
      <c r="B44" t="s" s="10">
        <v>38</v>
      </c>
      <c r="C44" s="20"/>
      <c r="D44" s="18"/>
      <c r="E44" s="18"/>
      <c r="F44" s="18">
        <f>F42/F43</f>
        <v>11240.9776034325</v>
      </c>
    </row>
    <row r="45" ht="20.05" customHeight="1">
      <c r="B45" t="s" s="10">
        <v>39</v>
      </c>
      <c r="C45" s="20"/>
      <c r="D45" s="18"/>
      <c r="E45" s="18"/>
      <c r="F45" s="18">
        <v>7200</v>
      </c>
    </row>
    <row r="46" ht="20.05" customHeight="1">
      <c r="B46" t="s" s="10">
        <v>40</v>
      </c>
      <c r="C46" s="20"/>
      <c r="D46" s="18"/>
      <c r="E46" s="18"/>
      <c r="F46" s="16">
        <f>F44/F45-1</f>
        <v>0.5612468893656249</v>
      </c>
    </row>
    <row r="47" ht="20.05" customHeight="1">
      <c r="B47" t="s" s="10">
        <v>41</v>
      </c>
      <c r="C47" s="20"/>
      <c r="D47" s="18"/>
      <c r="E47" s="18"/>
      <c r="F47" s="16">
        <f>'Sales'!C31/'Sales'!C27-1</f>
        <v>0.008463657598960899</v>
      </c>
    </row>
    <row r="48" ht="20.05" customHeight="1">
      <c r="B48" t="s" s="10">
        <v>42</v>
      </c>
      <c r="C48" s="20"/>
      <c r="D48" s="18"/>
      <c r="E48" s="18"/>
      <c r="F48" s="16">
        <f>('Sales'!D22+'Sales'!D31+'Sales'!D23+'Sales'!D24+'Sales'!D25+'Sales'!D26+'Sales'!D27+'Sales'!D28+'Sales'!D29+'Sales'!D30)/('Sales'!C22+'Sales'!C23+'Sales'!C24+'Sales'!C25+'Sales'!C26+'Sales'!C27+'Sales'!C28+'Sales'!C29+'Sales'!C31+'Sales'!C30)-1</f>
        <v>0.00247366078683586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45312" style="24" customWidth="1"/>
    <col min="2" max="2" width="7.83594" style="24" customWidth="1"/>
    <col min="3" max="11" width="11.0547" style="24" customWidth="1"/>
    <col min="12" max="16384" width="16.3516" style="24" customWidth="1"/>
  </cols>
  <sheetData>
    <row r="1" ht="20.5" customHeight="1"/>
    <row r="2" ht="27.65" customHeight="1">
      <c r="B2" t="s" s="2">
        <v>43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21</v>
      </c>
      <c r="G3" t="s" s="5">
        <v>44</v>
      </c>
      <c r="H3" t="s" s="5">
        <v>6</v>
      </c>
      <c r="I3" t="s" s="5">
        <v>6</v>
      </c>
      <c r="J3" t="s" s="5">
        <v>35</v>
      </c>
      <c r="K3" t="s" s="5">
        <v>45</v>
      </c>
    </row>
    <row r="4" ht="20.25" customHeight="1">
      <c r="B4" s="25">
        <v>2015</v>
      </c>
      <c r="C4" s="26">
        <v>6340</v>
      </c>
      <c r="D4" s="27"/>
      <c r="E4" s="27">
        <v>0</v>
      </c>
      <c r="F4" s="27">
        <v>1194</v>
      </c>
      <c r="G4" s="9"/>
      <c r="H4" s="28">
        <f>(E4+F4-C4)/C4</f>
        <v>-0.8116719242902209</v>
      </c>
      <c r="I4" s="28"/>
      <c r="J4" s="28"/>
      <c r="K4" s="28"/>
    </row>
    <row r="5" ht="20.05" customHeight="1">
      <c r="B5" s="29"/>
      <c r="C5" s="17">
        <v>6300</v>
      </c>
      <c r="D5" s="18"/>
      <c r="E5" s="18">
        <v>311</v>
      </c>
      <c r="F5" s="18">
        <v>1000</v>
      </c>
      <c r="G5" s="12">
        <f>C5/C4-1</f>
        <v>-0.00630914826498423</v>
      </c>
      <c r="H5" s="16">
        <f>(E5+F5-C5)/C5</f>
        <v>-0.791904761904762</v>
      </c>
      <c r="I5" s="16"/>
      <c r="J5" s="16"/>
      <c r="K5" s="16"/>
    </row>
    <row r="6" ht="20.05" customHeight="1">
      <c r="B6" s="29"/>
      <c r="C6" s="17">
        <v>6475</v>
      </c>
      <c r="D6" s="18"/>
      <c r="E6" s="18">
        <v>464</v>
      </c>
      <c r="F6" s="18">
        <v>1014</v>
      </c>
      <c r="G6" s="12">
        <f>C6/C5-1</f>
        <v>0.0277777777777778</v>
      </c>
      <c r="H6" s="16">
        <f>(E6+F6-C6)/C6</f>
        <v>-0.771737451737452</v>
      </c>
      <c r="I6" s="16"/>
      <c r="J6" s="16"/>
      <c r="K6" s="16"/>
    </row>
    <row r="7" ht="20.05" customHeight="1">
      <c r="B7" s="29"/>
      <c r="C7" s="17">
        <v>7833</v>
      </c>
      <c r="D7" s="18"/>
      <c r="E7" s="18">
        <v>325</v>
      </c>
      <c r="F7" s="18">
        <v>1317</v>
      </c>
      <c r="G7" s="12">
        <f>C7/C6-1</f>
        <v>0.20972972972973</v>
      </c>
      <c r="H7" s="16">
        <f>(E7+F7-C7)/C7</f>
        <v>-0.790374058470573</v>
      </c>
      <c r="I7" s="16"/>
      <c r="J7" s="16"/>
      <c r="K7" s="16"/>
    </row>
    <row r="8" ht="20.05" customHeight="1">
      <c r="B8" s="30">
        <v>2016</v>
      </c>
      <c r="C8" s="17">
        <v>6021</v>
      </c>
      <c r="D8" s="18"/>
      <c r="E8" s="18">
        <v>428</v>
      </c>
      <c r="F8" s="18">
        <v>1050</v>
      </c>
      <c r="G8" s="12">
        <f>C8/C7-1</f>
        <v>-0.231328992723095</v>
      </c>
      <c r="H8" s="16">
        <f>(E8+F8-C8)/C8</f>
        <v>-0.754525826274705</v>
      </c>
      <c r="I8" s="22"/>
      <c r="J8" s="22"/>
      <c r="K8" s="22"/>
    </row>
    <row r="9" ht="20.05" customHeight="1">
      <c r="B9" s="29"/>
      <c r="C9" s="17">
        <v>6449</v>
      </c>
      <c r="D9" s="18"/>
      <c r="E9" s="18">
        <v>516</v>
      </c>
      <c r="F9" s="18">
        <v>941</v>
      </c>
      <c r="G9" s="12">
        <f>C9/C8-1</f>
        <v>0.0710845374522505</v>
      </c>
      <c r="H9" s="16">
        <f>(E9+F9-C9)/C9</f>
        <v>-0.774073499767406</v>
      </c>
      <c r="I9" s="22"/>
      <c r="J9" s="22"/>
      <c r="K9" s="22"/>
    </row>
    <row r="10" ht="20.05" customHeight="1">
      <c r="B10" s="29"/>
      <c r="C10" s="17">
        <v>6612</v>
      </c>
      <c r="D10" s="18"/>
      <c r="E10" s="18">
        <v>396</v>
      </c>
      <c r="F10" s="18">
        <v>973</v>
      </c>
      <c r="G10" s="12">
        <f>C10/C9-1</f>
        <v>0.0252752364707707</v>
      </c>
      <c r="H10" s="16">
        <f>(E10+F10-C10)/C10</f>
        <v>-0.792952208106473</v>
      </c>
      <c r="I10" s="16"/>
      <c r="J10" s="16"/>
      <c r="K10" s="16">
        <f>('Cashflow'!D6+'Cashflow'!D7+'Cashflow'!D8+'Cashflow'!D9+'Cashflow'!F9+'Cashflow'!F8+'Cashflow'!F7+'Cashflow'!F6-'Cashflow'!C9-'Cashflow'!C8-'Cashflow'!C7-'Cashflow'!C6)/('Cashflow'!C6+'Cashflow'!C7+'Cashflow'!C8+'Cashflow'!C9)</f>
        <v>-0.635198185086893</v>
      </c>
    </row>
    <row r="11" ht="20.05" customHeight="1">
      <c r="B11" s="29"/>
      <c r="C11" s="17">
        <v>7052</v>
      </c>
      <c r="D11" s="18"/>
      <c r="E11" s="18">
        <v>949</v>
      </c>
      <c r="F11" s="18">
        <v>1571</v>
      </c>
      <c r="G11" s="12">
        <f>C11/C10-1</f>
        <v>0.06654567453115549</v>
      </c>
      <c r="H11" s="16">
        <f>(E11+F11-C11)/C11</f>
        <v>-0.6426545660805451</v>
      </c>
      <c r="I11" s="16"/>
      <c r="J11" s="16"/>
      <c r="K11" s="16">
        <f>('Cashflow'!D7+'Cashflow'!D8+'Cashflow'!D9+'Cashflow'!D10+'Cashflow'!F10+'Cashflow'!F9+'Cashflow'!F8+'Cashflow'!F7-'Cashflow'!C10-'Cashflow'!C9-'Cashflow'!C8-'Cashflow'!C7)/('Cashflow'!C7+'Cashflow'!C8+'Cashflow'!C9+'Cashflow'!C10)</f>
        <v>-0.8023632471947409</v>
      </c>
    </row>
    <row r="12" ht="20.05" customHeight="1">
      <c r="B12" s="30">
        <v>2017</v>
      </c>
      <c r="C12" s="17">
        <v>6399</v>
      </c>
      <c r="D12" s="18"/>
      <c r="E12" s="18">
        <v>353</v>
      </c>
      <c r="F12" s="18">
        <v>751</v>
      </c>
      <c r="G12" s="12">
        <f>C12/C11-1</f>
        <v>-0.092597844583097</v>
      </c>
      <c r="H12" s="16">
        <f>(E12+F12-C12)/C12</f>
        <v>-0.827473042662916</v>
      </c>
      <c r="I12" s="16">
        <f>AVERAGE(H9:H12)</f>
        <v>-0.759288329154335</v>
      </c>
      <c r="J12" s="16"/>
      <c r="K12" s="16">
        <f>('Cashflow'!D8+'Cashflow'!D9+'Cashflow'!D10+'Cashflow'!D11+'Cashflow'!F11+'Cashflow'!F10+'Cashflow'!F9+'Cashflow'!F8-'Cashflow'!C11-'Cashflow'!C10-'Cashflow'!C9-'Cashflow'!C8)/('Cashflow'!C8+'Cashflow'!C9+'Cashflow'!C10+'Cashflow'!C11)</f>
        <v>-0.822043120320845</v>
      </c>
    </row>
    <row r="13" ht="20.05" customHeight="1">
      <c r="B13" s="29"/>
      <c r="C13" s="17">
        <v>6315</v>
      </c>
      <c r="D13" s="18"/>
      <c r="E13" s="18">
        <v>451</v>
      </c>
      <c r="F13" s="18">
        <v>354</v>
      </c>
      <c r="G13" s="12">
        <f>C13/C12-1</f>
        <v>-0.0131270511017346</v>
      </c>
      <c r="H13" s="16">
        <f>(E13+F13-C13)/C13</f>
        <v>-0.872525732383215</v>
      </c>
      <c r="I13" s="16">
        <f>AVERAGE(H10:H13)</f>
        <v>-0.783901387308287</v>
      </c>
      <c r="J13" s="16"/>
      <c r="K13" s="16">
        <f>('Cashflow'!D9+'Cashflow'!D10+'Cashflow'!D11+'Cashflow'!D12+'Cashflow'!F12+'Cashflow'!F11+'Cashflow'!F10+'Cashflow'!F9-'Cashflow'!C12-'Cashflow'!C11-'Cashflow'!C10-'Cashflow'!C9)/('Cashflow'!C9+'Cashflow'!C10+'Cashflow'!C11+'Cashflow'!C12)</f>
        <v>-0.859530282782667</v>
      </c>
    </row>
    <row r="14" ht="20.05" customHeight="1">
      <c r="B14" s="29"/>
      <c r="C14" s="17">
        <v>7838</v>
      </c>
      <c r="D14" s="18"/>
      <c r="E14" s="18">
        <v>595</v>
      </c>
      <c r="F14" s="18">
        <v>366</v>
      </c>
      <c r="G14" s="12">
        <f>C14/C13-1</f>
        <v>0.24117181314331</v>
      </c>
      <c r="H14" s="16">
        <f>(E14+F14-C14)/C14</f>
        <v>-0.877392191885685</v>
      </c>
      <c r="I14" s="16">
        <f>AVERAGE(H11:H14)</f>
        <v>-0.80501138325309</v>
      </c>
      <c r="J14" s="16"/>
      <c r="K14" s="16">
        <f>('Cashflow'!D10+'Cashflow'!D11+'Cashflow'!D12+'Cashflow'!D13+'Cashflow'!F13+'Cashflow'!F12+'Cashflow'!F11+'Cashflow'!F10-'Cashflow'!C13-'Cashflow'!C12-'Cashflow'!C11-'Cashflow'!C10)/('Cashflow'!C10+'Cashflow'!C11+'Cashflow'!C12+'Cashflow'!C13)</f>
        <v>-0.8824434596690069</v>
      </c>
    </row>
    <row r="15" ht="20.05" customHeight="1">
      <c r="B15" s="29"/>
      <c r="C15" s="17">
        <v>8262</v>
      </c>
      <c r="D15" s="18"/>
      <c r="E15" s="18">
        <v>472</v>
      </c>
      <c r="F15" s="18">
        <v>179</v>
      </c>
      <c r="G15" s="12">
        <f>C15/C14-1</f>
        <v>0.0540954325082929</v>
      </c>
      <c r="H15" s="16">
        <f>(E15+F15-C15)/C15</f>
        <v>-0.921205519244735</v>
      </c>
      <c r="I15" s="16">
        <f>AVERAGE(H12:H15)</f>
        <v>-0.874649121544138</v>
      </c>
      <c r="J15" s="16"/>
      <c r="K15" s="16">
        <f>('Cashflow'!D11+'Cashflow'!D12+'Cashflow'!D13+'Cashflow'!D14+'Cashflow'!F14+'Cashflow'!F13+'Cashflow'!F12+'Cashflow'!F11-'Cashflow'!C14-'Cashflow'!C13-'Cashflow'!C12-'Cashflow'!C11)/('Cashflow'!C11+'Cashflow'!C12+'Cashflow'!C13+'Cashflow'!C14)</f>
        <v>-0.896853277524479</v>
      </c>
    </row>
    <row r="16" ht="20.05" customHeight="1">
      <c r="B16" s="30">
        <v>2018</v>
      </c>
      <c r="C16" s="17">
        <v>6618</v>
      </c>
      <c r="D16" s="18"/>
      <c r="E16" s="18">
        <v>471</v>
      </c>
      <c r="F16" s="18">
        <v>411</v>
      </c>
      <c r="G16" s="12">
        <f>C16/C15-1</f>
        <v>-0.198983297022513</v>
      </c>
      <c r="H16" s="16">
        <f>(E16+F16-C16)/C16</f>
        <v>-0.866727107887579</v>
      </c>
      <c r="I16" s="16">
        <f>AVERAGE(H13:H16)</f>
        <v>-0.884462637850304</v>
      </c>
      <c r="J16" s="16"/>
      <c r="K16" s="16">
        <f>('Cashflow'!D12+'Cashflow'!D13+'Cashflow'!D14+'Cashflow'!D15+'Cashflow'!F15+'Cashflow'!F14+'Cashflow'!F13+'Cashflow'!F12-'Cashflow'!C15-'Cashflow'!C14-'Cashflow'!C13-'Cashflow'!C12)/('Cashflow'!C12+'Cashflow'!C13+'Cashflow'!C14+'Cashflow'!C15)</f>
        <v>-0.894230307596288</v>
      </c>
    </row>
    <row r="17" ht="20.05" customHeight="1">
      <c r="B17" s="29"/>
      <c r="C17" s="17">
        <v>6690</v>
      </c>
      <c r="D17" s="18"/>
      <c r="E17" s="18">
        <v>489</v>
      </c>
      <c r="F17" s="18">
        <v>554</v>
      </c>
      <c r="G17" s="12">
        <f>C17/C16-1</f>
        <v>0.0108794197642792</v>
      </c>
      <c r="H17" s="16">
        <f>(E17+F17-C17)/C17</f>
        <v>-0.844095665171898</v>
      </c>
      <c r="I17" s="16">
        <f>AVERAGE(H14:H17)</f>
        <v>-0.877355121047474</v>
      </c>
      <c r="J17" s="16"/>
      <c r="K17" s="16">
        <f>('Cashflow'!D13+'Cashflow'!D14+'Cashflow'!D15+'Cashflow'!D16+'Cashflow'!F16+'Cashflow'!F15+'Cashflow'!F14+'Cashflow'!F13-'Cashflow'!C16-'Cashflow'!C15-'Cashflow'!C14-'Cashflow'!C13)/('Cashflow'!C13+'Cashflow'!C14+'Cashflow'!C15+'Cashflow'!C16)</f>
        <v>-0.86206995330717</v>
      </c>
    </row>
    <row r="18" ht="20.05" customHeight="1">
      <c r="B18" s="29"/>
      <c r="C18" s="17">
        <v>8147</v>
      </c>
      <c r="D18" s="18"/>
      <c r="E18" s="18">
        <v>430</v>
      </c>
      <c r="F18" s="18">
        <v>1104</v>
      </c>
      <c r="G18" s="12">
        <f>C18/C17-1</f>
        <v>0.217787742899851</v>
      </c>
      <c r="H18" s="16">
        <f>(E18+F18-C18)/C18</f>
        <v>-0.8117098318399411</v>
      </c>
      <c r="I18" s="16">
        <f>AVERAGE(H15:H18)</f>
        <v>-0.860934531036038</v>
      </c>
      <c r="J18" s="16"/>
      <c r="K18" s="16">
        <f>('Cashflow'!D14+'Cashflow'!D15+'Cashflow'!D16+'Cashflow'!D17+'Cashflow'!F17+'Cashflow'!F16+'Cashflow'!F15+'Cashflow'!F14-'Cashflow'!C17-'Cashflow'!C16-'Cashflow'!C15-'Cashflow'!C14)/('Cashflow'!C14+'Cashflow'!C15+'Cashflow'!C16+'Cashflow'!C17)</f>
        <v>-0.864583446120309</v>
      </c>
    </row>
    <row r="19" ht="20.05" customHeight="1">
      <c r="B19" s="29"/>
      <c r="C19" s="17">
        <v>9233</v>
      </c>
      <c r="D19" s="18"/>
      <c r="E19" s="18">
        <v>291</v>
      </c>
      <c r="F19" s="18">
        <v>1017</v>
      </c>
      <c r="G19" s="12">
        <f>C19/C18-1</f>
        <v>0.133300601448386</v>
      </c>
      <c r="H19" s="16">
        <f>(E19+F19-C19)/C19</f>
        <v>-0.858334235892993</v>
      </c>
      <c r="I19" s="16">
        <f>AVERAGE(H16:H19)</f>
        <v>-0.845216710198103</v>
      </c>
      <c r="J19" s="16"/>
      <c r="K19" s="16">
        <f>('Cashflow'!D15+'Cashflow'!D16+'Cashflow'!D17+'Cashflow'!D18+'Cashflow'!F18+'Cashflow'!F17+'Cashflow'!F16+'Cashflow'!F15-'Cashflow'!C18-'Cashflow'!C17-'Cashflow'!C16-'Cashflow'!C15)/('Cashflow'!C15+'Cashflow'!C16+'Cashflow'!C17+'Cashflow'!C18)</f>
        <v>-0.85014173059097</v>
      </c>
    </row>
    <row r="20" ht="20.05" customHeight="1">
      <c r="B20" s="30">
        <v>2019</v>
      </c>
      <c r="C20" s="17">
        <v>8127</v>
      </c>
      <c r="D20" s="18"/>
      <c r="E20" s="18">
        <v>499</v>
      </c>
      <c r="F20" s="18">
        <v>238</v>
      </c>
      <c r="G20" s="12">
        <f>C20/C19-1</f>
        <v>-0.119787717968158</v>
      </c>
      <c r="H20" s="16">
        <f>(E20+F20-C20)/C20</f>
        <v>-0.909314630244863</v>
      </c>
      <c r="I20" s="16">
        <f>AVERAGE(H17:H20)</f>
        <v>-0.855863590787424</v>
      </c>
      <c r="J20" s="16"/>
      <c r="K20" s="16">
        <f>('Cashflow'!D16+'Cashflow'!D17+'Cashflow'!D18+'Cashflow'!D19+'Cashflow'!F19+'Cashflow'!F18+'Cashflow'!F17+'Cashflow'!F16-'Cashflow'!C19-'Cashflow'!C18-'Cashflow'!C17-'Cashflow'!C16)/('Cashflow'!C16+'Cashflow'!C17+'Cashflow'!C18+'Cashflow'!C19)</f>
        <v>-0.87051656920078</v>
      </c>
    </row>
    <row r="21" ht="20.05" customHeight="1">
      <c r="B21" s="29"/>
      <c r="C21" s="17">
        <v>8224</v>
      </c>
      <c r="D21" s="18"/>
      <c r="E21" s="18">
        <v>693</v>
      </c>
      <c r="F21" s="18">
        <v>243</v>
      </c>
      <c r="G21" s="12">
        <f>C21/C20-1</f>
        <v>0.0119355235634305</v>
      </c>
      <c r="H21" s="16">
        <f>(E21+F21-C21)/C21</f>
        <v>-0.886186770428016</v>
      </c>
      <c r="I21" s="16">
        <f>AVERAGE(H18:H21)</f>
        <v>-0.866386367101453</v>
      </c>
      <c r="J21" s="16"/>
      <c r="K21" s="16">
        <f>('Cashflow'!D17+'Cashflow'!D18+'Cashflow'!D19+'Cashflow'!D20+'Cashflow'!F20+'Cashflow'!F19+'Cashflow'!F18+'Cashflow'!F17-'Cashflow'!C20-'Cashflow'!C19-'Cashflow'!C18-'Cashflow'!C17)/('Cashflow'!C17+'Cashflow'!C18+'Cashflow'!C19+'Cashflow'!C20)</f>
        <v>-0.918132070831284</v>
      </c>
    </row>
    <row r="22" ht="20.05" customHeight="1">
      <c r="B22" s="29"/>
      <c r="C22" s="17">
        <v>11772</v>
      </c>
      <c r="D22" s="14">
        <v>9369.049999999999</v>
      </c>
      <c r="E22" s="18">
        <v>779</v>
      </c>
      <c r="F22" s="18">
        <v>805</v>
      </c>
      <c r="G22" s="12">
        <f>C22/C21-1</f>
        <v>0.431420233463035</v>
      </c>
      <c r="H22" s="16">
        <f>(E22+F22-C22)/C22</f>
        <v>-0.865443425076453</v>
      </c>
      <c r="I22" s="16">
        <f>AVERAGE(H19:H22)</f>
        <v>-0.879819765410581</v>
      </c>
      <c r="J22" s="16"/>
      <c r="K22" s="16">
        <f>('Cashflow'!D18+'Cashflow'!D19+'Cashflow'!D20+'Cashflow'!D21+'Cashflow'!F21+'Cashflow'!F20+'Cashflow'!F19+'Cashflow'!F18-'Cashflow'!C21-'Cashflow'!C20-'Cashflow'!C19-'Cashflow'!C18)/('Cashflow'!C18+'Cashflow'!C19+'Cashflow'!C20+'Cashflow'!C21)</f>
        <v>-0.9120083234277</v>
      </c>
    </row>
    <row r="23" ht="20.05" customHeight="1">
      <c r="B23" s="29"/>
      <c r="C23" s="17">
        <v>12245</v>
      </c>
      <c r="D23" s="14">
        <v>12002.9</v>
      </c>
      <c r="E23" s="18">
        <v>524</v>
      </c>
      <c r="F23" s="18">
        <v>1085</v>
      </c>
      <c r="G23" s="12">
        <f>C23/C22-1</f>
        <v>0.040180088345226</v>
      </c>
      <c r="H23" s="16">
        <f>(E23+F23-C23)/C23</f>
        <v>-0.868599428338097</v>
      </c>
      <c r="I23" s="16">
        <f>AVERAGE(H20:H23)</f>
        <v>-0.882386063521857</v>
      </c>
      <c r="J23" s="16"/>
      <c r="K23" s="16">
        <f>('Cashflow'!D19+'Cashflow'!D20+'Cashflow'!D21+'Cashflow'!D22+'Cashflow'!F22+'Cashflow'!F21+'Cashflow'!F20+'Cashflow'!F19-'Cashflow'!C22-'Cashflow'!C21-'Cashflow'!C20-'Cashflow'!C19)/('Cashflow'!C19+'Cashflow'!C20+'Cashflow'!C21+'Cashflow'!C22)</f>
        <v>-0.869756018008312</v>
      </c>
    </row>
    <row r="24" ht="20.05" customHeight="1">
      <c r="B24" s="30">
        <v>2020</v>
      </c>
      <c r="C24" s="17">
        <v>8580</v>
      </c>
      <c r="D24" s="14">
        <v>9752.4</v>
      </c>
      <c r="E24" s="18">
        <v>797</v>
      </c>
      <c r="F24" s="18">
        <v>425</v>
      </c>
      <c r="G24" s="12">
        <f>C24/C23-1</f>
        <v>-0.299305839118007</v>
      </c>
      <c r="H24" s="16">
        <f>(E24+F24-C24)/C24</f>
        <v>-0.857575757575758</v>
      </c>
      <c r="I24" s="16">
        <f>AVERAGE(H21:H24)</f>
        <v>-0.869451345354581</v>
      </c>
      <c r="J24" s="16"/>
      <c r="K24" s="16">
        <f>('Cashflow'!D20+'Cashflow'!D21+'Cashflow'!D22+'Cashflow'!D23+'Cashflow'!F23+'Cashflow'!F22+'Cashflow'!F21+'Cashflow'!F20-'Cashflow'!C23-'Cashflow'!C22-'Cashflow'!C21-'Cashflow'!C20)/('Cashflow'!C20+'Cashflow'!C21+'Cashflow'!C22+'Cashflow'!C23)</f>
        <v>-0.858688334495308</v>
      </c>
    </row>
    <row r="25" ht="20.05" customHeight="1">
      <c r="B25" s="29"/>
      <c r="C25" s="17">
        <v>7446</v>
      </c>
      <c r="D25" s="14">
        <v>8306.24</v>
      </c>
      <c r="E25" s="18">
        <v>558</v>
      </c>
      <c r="F25" s="18">
        <v>181</v>
      </c>
      <c r="G25" s="12">
        <f>C25/C24-1</f>
        <v>-0.132167832167832</v>
      </c>
      <c r="H25" s="16">
        <f>(E25+F25-C25)/C25</f>
        <v>-0.90075208165458</v>
      </c>
      <c r="I25" s="16">
        <f>AVERAGE(H22:H25)</f>
        <v>-0.873092673161222</v>
      </c>
      <c r="J25" s="16"/>
      <c r="K25" s="16">
        <f>('Cashflow'!D21+'Cashflow'!D22+'Cashflow'!D23+'Cashflow'!D24+'Cashflow'!F24+'Cashflow'!F23+'Cashflow'!F22+'Cashflow'!F21-'Cashflow'!C24-'Cashflow'!C23-'Cashflow'!C22-'Cashflow'!C21)/('Cashflow'!C21+'Cashflow'!C22+'Cashflow'!C23+'Cashflow'!C24)</f>
        <v>-0.812277176850386</v>
      </c>
    </row>
    <row r="26" ht="20.05" customHeight="1">
      <c r="B26" s="29"/>
      <c r="C26" s="17">
        <v>9599</v>
      </c>
      <c r="D26" s="14">
        <v>8041.68</v>
      </c>
      <c r="E26" s="18">
        <f>2324.5-SUM(E24:E25)</f>
        <v>969.5</v>
      </c>
      <c r="F26" s="18">
        <f>1541.1-SUM(F24:F25)</f>
        <v>935.1</v>
      </c>
      <c r="G26" s="12">
        <f>C26/C25-1</f>
        <v>0.289148536126779</v>
      </c>
      <c r="H26" s="16">
        <f>(E26+F26-C26)/C26</f>
        <v>-0.801583498281071</v>
      </c>
      <c r="I26" s="16">
        <f>AVERAGE(H23:H26)</f>
        <v>-0.857127691462377</v>
      </c>
      <c r="J26" s="16"/>
      <c r="K26" s="16">
        <f>('Cashflow'!D22+'Cashflow'!D23+'Cashflow'!D24+'Cashflow'!D25+'Cashflow'!F25+'Cashflow'!F24+'Cashflow'!F23+'Cashflow'!F22-'Cashflow'!C25-'Cashflow'!C24-'Cashflow'!C23-'Cashflow'!C22)/('Cashflow'!C22+'Cashflow'!C23+'Cashflow'!C24+'Cashflow'!C25)</f>
        <v>-0.772343903819963</v>
      </c>
    </row>
    <row r="27" ht="20.05" customHeight="1">
      <c r="B27" s="29"/>
      <c r="C27" s="17">
        <f>35171.7-SUM(C24:C26)</f>
        <v>9546.700000000001</v>
      </c>
      <c r="D27" s="14">
        <v>10174.94</v>
      </c>
      <c r="E27" s="18">
        <f>3424.3-SUM(E24:E26)</f>
        <v>1099.8</v>
      </c>
      <c r="F27" s="18">
        <f>2674.3-SUM(F24:F26)</f>
        <v>1133.2</v>
      </c>
      <c r="G27" s="12">
        <f>C27/C26-1</f>
        <v>-0.00544848421710595</v>
      </c>
      <c r="H27" s="16">
        <f>(E27+F27-C27)/C27</f>
        <v>-0.7660971854148551</v>
      </c>
      <c r="I27" s="16">
        <f>AVERAGE(H24:H27)</f>
        <v>-0.831502130731566</v>
      </c>
      <c r="J27" s="16"/>
      <c r="K27" s="16">
        <f>('Cashflow'!D23+'Cashflow'!D24+'Cashflow'!D25+'Cashflow'!D26+'Cashflow'!F26+'Cashflow'!F25+'Cashflow'!F24+'Cashflow'!F23-'Cashflow'!C26-'Cashflow'!C25-'Cashflow'!C24-'Cashflow'!C23)/('Cashflow'!C23+'Cashflow'!C24+'Cashflow'!C25+'Cashflow'!C26)</f>
        <v>-0.807153786438352</v>
      </c>
    </row>
    <row r="28" ht="20.05" customHeight="1">
      <c r="B28" s="30">
        <v>2021</v>
      </c>
      <c r="C28" s="17">
        <v>8076.7</v>
      </c>
      <c r="D28" s="14">
        <v>9546.700000000001</v>
      </c>
      <c r="E28" s="18">
        <v>811.9</v>
      </c>
      <c r="F28" s="18">
        <v>446.1</v>
      </c>
      <c r="G28" s="12">
        <f>C28/C27-1</f>
        <v>-0.153979909288026</v>
      </c>
      <c r="H28" s="16">
        <f>(E28+F28-C28)/C28</f>
        <v>-0.84424331719638</v>
      </c>
      <c r="I28" s="16">
        <f>AVERAGE(H25:H28)</f>
        <v>-0.828169020636722</v>
      </c>
      <c r="J28" s="16"/>
      <c r="K28" s="16">
        <f>('Cashflow'!D24+'Cashflow'!D25+'Cashflow'!D26+'Cashflow'!D27+'Cashflow'!F27+'Cashflow'!F26+'Cashflow'!F25+'Cashflow'!F24-'Cashflow'!C27-'Cashflow'!C26-'Cashflow'!C25-'Cashflow'!C24)/('Cashflow'!C24+'Cashflow'!C25+'Cashflow'!C26+'Cashflow'!C27)</f>
        <v>-0.784423123368334</v>
      </c>
    </row>
    <row r="29" ht="20.05" customHeight="1">
      <c r="B29" s="29"/>
      <c r="C29" s="17">
        <f>16213.3-C28</f>
        <v>8136.6</v>
      </c>
      <c r="D29" s="14">
        <v>8157.467</v>
      </c>
      <c r="E29" s="18">
        <f>1544.3-E28</f>
        <v>732.4</v>
      </c>
      <c r="F29" s="18">
        <f>788.9-F28</f>
        <v>342.8</v>
      </c>
      <c r="G29" s="12">
        <f>C29/C28-1</f>
        <v>0.0074163953099657</v>
      </c>
      <c r="H29" s="16">
        <f>(E29+F29-C29)/C29</f>
        <v>-0.867856352776344</v>
      </c>
      <c r="I29" s="16">
        <f>AVERAGE(H26:H29)</f>
        <v>-0.819945088417163</v>
      </c>
      <c r="J29" s="16"/>
      <c r="K29" s="16">
        <f>('Cashflow'!D25+'Cashflow'!D26+'Cashflow'!D27+'Cashflow'!D28+'Cashflow'!F28+'Cashflow'!F27+'Cashflow'!F26+'Cashflow'!F25-'Cashflow'!C28-'Cashflow'!C27-'Cashflow'!C26-'Cashflow'!C25)/('Cashflow'!C25+'Cashflow'!C26+'Cashflow'!C27+'Cashflow'!C28)</f>
        <v>-0.805769814410793</v>
      </c>
    </row>
    <row r="30" ht="20.05" customHeight="1">
      <c r="B30" s="29"/>
      <c r="C30" s="17">
        <f>25330.5-SUM(C28:C29)</f>
        <v>9117.200000000001</v>
      </c>
      <c r="D30" s="14">
        <v>8543.43</v>
      </c>
      <c r="E30" s="18">
        <f>2393.8-SUM(E28:E29)</f>
        <v>849.5</v>
      </c>
      <c r="F30" s="18">
        <f>1443.7-SUM(F28:F29)</f>
        <v>654.8</v>
      </c>
      <c r="G30" s="12">
        <f>C30/C29-1</f>
        <v>0.120517169333628</v>
      </c>
      <c r="H30" s="16">
        <f>(E30+F30-C30)/C30</f>
        <v>-0.8350041679462989</v>
      </c>
      <c r="I30" s="16">
        <f>AVERAGE(H27:H30)</f>
        <v>-0.82830025583347</v>
      </c>
      <c r="J30" s="16"/>
      <c r="K30" s="16">
        <f>('Cashflow'!D26+'Cashflow'!D27+'Cashflow'!D28+'Cashflow'!D29+'Cashflow'!F29+'Cashflow'!F28+'Cashflow'!F27+'Cashflow'!F26-'Cashflow'!C29-'Cashflow'!C28-'Cashflow'!C27-'Cashflow'!C26)/('Cashflow'!C26+'Cashflow'!C27+'Cashflow'!C28+'Cashflow'!C29)</f>
        <v>-0.827517887109859</v>
      </c>
    </row>
    <row r="31" ht="20.05" customHeight="1">
      <c r="B31" s="29"/>
      <c r="C31" s="17">
        <f>34958-C30-C29-C28</f>
        <v>9627.5</v>
      </c>
      <c r="D31" s="14">
        <v>10484.78</v>
      </c>
      <c r="E31" s="18">
        <f>3253-E30-E29-E28</f>
        <v>859.2</v>
      </c>
      <c r="F31" s="18">
        <f>2082-F30-F29-F28</f>
        <v>638.3</v>
      </c>
      <c r="G31" s="12">
        <f>C31/C30-1</f>
        <v>0.0559711314877375</v>
      </c>
      <c r="H31" s="16">
        <f>(E31+F31-C31)/C31</f>
        <v>-0.844455985458323</v>
      </c>
      <c r="I31" s="16">
        <f>AVERAGE(H28:H31)</f>
        <v>-0.847889955844337</v>
      </c>
      <c r="J31" s="16">
        <f>I31</f>
        <v>-0.847889955844337</v>
      </c>
      <c r="K31" s="16">
        <f>('Cashflow'!D27+'Cashflow'!D28+'Cashflow'!D29+'Cashflow'!D30+'Cashflow'!F30+'Cashflow'!F29+'Cashflow'!F28+'Cashflow'!F27-'Cashflow'!C30-'Cashflow'!C29-'Cashflow'!C28-'Cashflow'!C27)/('Cashflow'!C27+'Cashflow'!C28+'Cashflow'!C29+'Cashflow'!C30)</f>
        <v>-0.823170731707317</v>
      </c>
    </row>
    <row r="32" ht="20.05" customHeight="1">
      <c r="B32" s="30">
        <v>2022</v>
      </c>
      <c r="C32" s="17"/>
      <c r="D32" s="14">
        <f>'Model'!C6</f>
        <v>8664.75</v>
      </c>
      <c r="E32" s="18"/>
      <c r="F32" s="18"/>
      <c r="G32" s="12"/>
      <c r="H32" s="22"/>
      <c r="I32" s="22"/>
      <c r="J32" s="16">
        <f>'Model'!F7</f>
        <v>-0.844455985458323</v>
      </c>
      <c r="K32" s="16"/>
    </row>
    <row r="33" ht="20.05" customHeight="1">
      <c r="B33" s="29"/>
      <c r="C33" s="17"/>
      <c r="D33" s="14">
        <f>'Model'!D6</f>
        <v>8751.397499999999</v>
      </c>
      <c r="E33" s="18"/>
      <c r="F33" s="18"/>
      <c r="G33" s="12"/>
      <c r="H33" s="12"/>
      <c r="I33" s="16"/>
      <c r="J33" s="16"/>
      <c r="K33" s="16"/>
    </row>
    <row r="34" ht="20.05" customHeight="1">
      <c r="B34" s="29"/>
      <c r="C34" s="17"/>
      <c r="D34" s="14">
        <f>'Model'!E6</f>
        <v>10939.246875</v>
      </c>
      <c r="E34" s="18"/>
      <c r="F34" s="18"/>
      <c r="G34" s="12"/>
      <c r="H34" s="12"/>
      <c r="I34" s="16"/>
      <c r="J34" s="16"/>
      <c r="K34" s="16"/>
    </row>
    <row r="35" ht="20.05" customHeight="1">
      <c r="B35" s="29"/>
      <c r="C35" s="17"/>
      <c r="D35" s="14">
        <f>'Model'!F6</f>
        <v>11595.6016875</v>
      </c>
      <c r="E35" s="18"/>
      <c r="F35" s="18"/>
      <c r="G35" s="12"/>
      <c r="H35" s="12"/>
      <c r="I35" s="16"/>
      <c r="J35" s="16"/>
      <c r="K35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2:N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16406" style="31" customWidth="1"/>
    <col min="2" max="2" width="8.875" style="31" customWidth="1"/>
    <col min="3" max="14" width="10.9688" style="31" customWidth="1"/>
    <col min="15" max="16384" width="16.3516" style="31" customWidth="1"/>
  </cols>
  <sheetData>
    <row r="1" ht="27.65" customHeight="1">
      <c r="B1" t="s" s="2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2.25" customHeight="1">
      <c r="B2" t="s" s="5">
        <v>1</v>
      </c>
      <c r="C2" t="s" s="5">
        <v>47</v>
      </c>
      <c r="D2" t="s" s="5">
        <v>48</v>
      </c>
      <c r="E2" t="s" s="5">
        <v>49</v>
      </c>
      <c r="F2" t="s" s="5">
        <v>50</v>
      </c>
      <c r="G2" t="s" s="5">
        <v>12</v>
      </c>
      <c r="H2" t="s" s="5">
        <v>51</v>
      </c>
      <c r="I2" t="s" s="5">
        <v>11</v>
      </c>
      <c r="J2" t="s" s="5">
        <v>52</v>
      </c>
      <c r="K2" t="s" s="5">
        <v>3</v>
      </c>
      <c r="L2" t="s" s="5">
        <v>35</v>
      </c>
      <c r="M2" t="s" s="5">
        <v>53</v>
      </c>
      <c r="N2" t="s" s="5">
        <v>35</v>
      </c>
    </row>
    <row r="3" ht="20.25" customHeight="1">
      <c r="B3" s="25">
        <v>2015</v>
      </c>
      <c r="C3" s="26"/>
      <c r="D3" s="27">
        <v>1681</v>
      </c>
      <c r="E3" s="27">
        <v>-1066</v>
      </c>
      <c r="F3" s="27"/>
      <c r="G3" s="27"/>
      <c r="H3" s="27"/>
      <c r="I3" s="27">
        <v>-183</v>
      </c>
      <c r="J3" s="27">
        <f>D3+E3</f>
        <v>615</v>
      </c>
      <c r="K3" s="32"/>
      <c r="L3" s="27"/>
      <c r="M3" s="27">
        <f>-(I3-F3)</f>
        <v>183</v>
      </c>
      <c r="N3" s="27"/>
    </row>
    <row r="4" ht="20.05" customHeight="1">
      <c r="B4" s="29"/>
      <c r="C4" s="17"/>
      <c r="D4" s="18">
        <v>1248</v>
      </c>
      <c r="E4" s="18">
        <v>-1511</v>
      </c>
      <c r="F4" s="18"/>
      <c r="G4" s="18"/>
      <c r="H4" s="18"/>
      <c r="I4" s="18">
        <v>-2228</v>
      </c>
      <c r="J4" s="18">
        <f>D4+E4</f>
        <v>-263</v>
      </c>
      <c r="K4" s="21"/>
      <c r="L4" s="18"/>
      <c r="M4" s="18">
        <f>-(I4-F4)+M3</f>
        <v>2411</v>
      </c>
      <c r="N4" s="18"/>
    </row>
    <row r="5" ht="20.05" customHeight="1">
      <c r="B5" s="29"/>
      <c r="C5" s="17"/>
      <c r="D5" s="18">
        <v>902</v>
      </c>
      <c r="E5" s="18">
        <v>-1376</v>
      </c>
      <c r="F5" s="18"/>
      <c r="G5" s="18"/>
      <c r="H5" s="18"/>
      <c r="I5" s="18">
        <v>248</v>
      </c>
      <c r="J5" s="18">
        <f>D5+E5</f>
        <v>-474</v>
      </c>
      <c r="K5" s="21"/>
      <c r="L5" s="18"/>
      <c r="M5" s="18">
        <f>-(I5-F5)+M4</f>
        <v>2163</v>
      </c>
      <c r="N5" s="18"/>
    </row>
    <row r="6" ht="20.05" customHeight="1">
      <c r="B6" s="29"/>
      <c r="C6" s="17"/>
      <c r="D6" s="18">
        <v>3458</v>
      </c>
      <c r="E6" s="18">
        <v>-1639</v>
      </c>
      <c r="F6" s="18"/>
      <c r="G6" s="18"/>
      <c r="H6" s="18"/>
      <c r="I6" s="18">
        <v>-495</v>
      </c>
      <c r="J6" s="18">
        <f>D6+E6</f>
        <v>1819</v>
      </c>
      <c r="K6" s="21"/>
      <c r="L6" s="18"/>
      <c r="M6" s="18">
        <f>-(I6-F6)+M5</f>
        <v>2658</v>
      </c>
      <c r="N6" s="18"/>
    </row>
    <row r="7" ht="20.05" customHeight="1">
      <c r="B7" s="30">
        <v>2016</v>
      </c>
      <c r="C7" s="17">
        <v>6565.2</v>
      </c>
      <c r="D7" s="18">
        <v>1304</v>
      </c>
      <c r="E7" s="18">
        <v>-1222</v>
      </c>
      <c r="F7" s="18"/>
      <c r="G7" s="18"/>
      <c r="H7" s="18"/>
      <c r="I7" s="18">
        <v>-6</v>
      </c>
      <c r="J7" s="18">
        <f>D7+E7</f>
        <v>82</v>
      </c>
      <c r="K7" s="18">
        <f>AVERAGE(J4:J7)</f>
        <v>291</v>
      </c>
      <c r="L7" s="18"/>
      <c r="M7" s="18">
        <f>-(I7-F7)+M6</f>
        <v>2664</v>
      </c>
      <c r="N7" s="18"/>
    </row>
    <row r="8" ht="20.05" customHeight="1">
      <c r="B8" s="29"/>
      <c r="C8" s="17">
        <v>5855.8</v>
      </c>
      <c r="D8" s="18">
        <v>626</v>
      </c>
      <c r="E8" s="18">
        <v>-1067</v>
      </c>
      <c r="F8" s="18"/>
      <c r="G8" s="18"/>
      <c r="H8" s="18"/>
      <c r="I8" s="18">
        <v>-1461</v>
      </c>
      <c r="J8" s="18">
        <f>D8+E8</f>
        <v>-441</v>
      </c>
      <c r="K8" s="18">
        <f>AVERAGE(J5:J8)</f>
        <v>246.5</v>
      </c>
      <c r="L8" s="18"/>
      <c r="M8" s="18">
        <f>-(I8-F8)+M7</f>
        <v>4125</v>
      </c>
      <c r="N8" s="18"/>
    </row>
    <row r="9" ht="20.05" customHeight="1">
      <c r="B9" s="29"/>
      <c r="C9" s="17">
        <v>6268.6</v>
      </c>
      <c r="D9" s="18">
        <v>1430</v>
      </c>
      <c r="E9" s="18">
        <v>-1118</v>
      </c>
      <c r="F9" s="18"/>
      <c r="G9" s="18"/>
      <c r="H9" s="18"/>
      <c r="I9" s="18">
        <v>285</v>
      </c>
      <c r="J9" s="18">
        <f>D9+E9</f>
        <v>312</v>
      </c>
      <c r="K9" s="18">
        <f>AVERAGE(J6:J9)</f>
        <v>443</v>
      </c>
      <c r="L9" s="18"/>
      <c r="M9" s="18">
        <f>-(I9-F9)+M8</f>
        <v>3840</v>
      </c>
      <c r="N9" s="18"/>
    </row>
    <row r="10" ht="20.05" customHeight="1">
      <c r="B10" s="29"/>
      <c r="C10" s="17">
        <v>7520.1</v>
      </c>
      <c r="D10" s="18">
        <v>1820</v>
      </c>
      <c r="E10" s="18">
        <v>-2122</v>
      </c>
      <c r="F10" s="18"/>
      <c r="G10" s="18"/>
      <c r="H10" s="18"/>
      <c r="I10" s="18">
        <v>402</v>
      </c>
      <c r="J10" s="18">
        <f>D10+E10</f>
        <v>-302</v>
      </c>
      <c r="K10" s="18">
        <f>AVERAGE(J7:J10)</f>
        <v>-87.25</v>
      </c>
      <c r="L10" s="18"/>
      <c r="M10" s="18">
        <f>-(I10-F10)+M9</f>
        <v>3438</v>
      </c>
      <c r="N10" s="18"/>
    </row>
    <row r="11" ht="20.05" customHeight="1">
      <c r="B11" s="30">
        <v>2017</v>
      </c>
      <c r="C11" s="17">
        <v>6361.8</v>
      </c>
      <c r="D11" s="18">
        <v>752</v>
      </c>
      <c r="E11" s="18">
        <v>-689</v>
      </c>
      <c r="F11" s="18"/>
      <c r="G11" s="18"/>
      <c r="H11" s="18"/>
      <c r="I11" s="18">
        <v>-24</v>
      </c>
      <c r="J11" s="18">
        <f>D11+E11</f>
        <v>63</v>
      </c>
      <c r="K11" s="18">
        <f>AVERAGE(J8:J11)</f>
        <v>-92</v>
      </c>
      <c r="L11" s="18"/>
      <c r="M11" s="18">
        <f>-(I11-F11)+M10</f>
        <v>3462</v>
      </c>
      <c r="N11" s="18"/>
    </row>
    <row r="12" ht="20.05" customHeight="1">
      <c r="B12" s="29"/>
      <c r="C12" s="17">
        <v>5890.7</v>
      </c>
      <c r="D12" s="18">
        <v>-344</v>
      </c>
      <c r="E12" s="18">
        <v>-952</v>
      </c>
      <c r="F12" s="18"/>
      <c r="G12" s="18"/>
      <c r="H12" s="18"/>
      <c r="I12" s="18">
        <v>3041</v>
      </c>
      <c r="J12" s="18">
        <f>D12+E12</f>
        <v>-1296</v>
      </c>
      <c r="K12" s="18">
        <f>AVERAGE(J9:J12)</f>
        <v>-305.75</v>
      </c>
      <c r="L12" s="18"/>
      <c r="M12" s="18">
        <f>-(I12-F12)+M11</f>
        <v>421</v>
      </c>
      <c r="N12" s="18"/>
    </row>
    <row r="13" ht="20.05" customHeight="1">
      <c r="B13" s="29"/>
      <c r="C13" s="17">
        <v>7261.2</v>
      </c>
      <c r="D13" s="18">
        <v>950</v>
      </c>
      <c r="E13" s="18">
        <v>-772</v>
      </c>
      <c r="F13" s="18"/>
      <c r="G13" s="18"/>
      <c r="H13" s="18"/>
      <c r="I13" s="18">
        <v>-2122</v>
      </c>
      <c r="J13" s="18">
        <f>D13+E13</f>
        <v>178</v>
      </c>
      <c r="K13" s="18">
        <f>AVERAGE(J10:J13)</f>
        <v>-339.25</v>
      </c>
      <c r="L13" s="18"/>
      <c r="M13" s="18">
        <f>-(I13-F13)+M12</f>
        <v>2543</v>
      </c>
      <c r="N13" s="18"/>
    </row>
    <row r="14" ht="20.05" customHeight="1">
      <c r="B14" s="29"/>
      <c r="C14" s="17">
        <v>7244.3</v>
      </c>
      <c r="D14" s="18">
        <v>1402</v>
      </c>
      <c r="E14" s="18">
        <v>-1077</v>
      </c>
      <c r="F14" s="18"/>
      <c r="G14" s="18"/>
      <c r="H14" s="18"/>
      <c r="I14" s="18">
        <v>638</v>
      </c>
      <c r="J14" s="18">
        <f>D14+E14</f>
        <v>325</v>
      </c>
      <c r="K14" s="18">
        <f>AVERAGE(J11:J14)</f>
        <v>-182.5</v>
      </c>
      <c r="L14" s="18"/>
      <c r="M14" s="18">
        <f>-(I14-F14)+M13</f>
        <v>1905</v>
      </c>
      <c r="N14" s="18"/>
    </row>
    <row r="15" ht="20.05" customHeight="1">
      <c r="B15" s="30">
        <v>2018</v>
      </c>
      <c r="C15" s="17">
        <v>6681.5</v>
      </c>
      <c r="D15" s="18">
        <v>856</v>
      </c>
      <c r="E15" s="18">
        <v>-563</v>
      </c>
      <c r="F15" s="18"/>
      <c r="G15" s="18"/>
      <c r="H15" s="18"/>
      <c r="I15" s="18">
        <v>103</v>
      </c>
      <c r="J15" s="18">
        <f>D15+E15</f>
        <v>293</v>
      </c>
      <c r="K15" s="18">
        <f>AVERAGE(J12:J15)</f>
        <v>-125</v>
      </c>
      <c r="L15" s="18"/>
      <c r="M15" s="18">
        <f>-(I15-F15)+M14</f>
        <v>1802</v>
      </c>
      <c r="N15" s="18"/>
    </row>
    <row r="16" ht="20.05" customHeight="1">
      <c r="B16" s="29"/>
      <c r="C16" s="17">
        <v>6740.2</v>
      </c>
      <c r="D16" s="18">
        <v>644</v>
      </c>
      <c r="E16" s="18">
        <v>-764</v>
      </c>
      <c r="F16" s="18"/>
      <c r="G16" s="18"/>
      <c r="H16" s="18"/>
      <c r="I16" s="18">
        <v>-809</v>
      </c>
      <c r="J16" s="18">
        <f>D16+E16</f>
        <v>-120</v>
      </c>
      <c r="K16" s="18">
        <f>AVERAGE(J13:J16)</f>
        <v>169</v>
      </c>
      <c r="L16" s="18"/>
      <c r="M16" s="18">
        <f>-(I16-F16)+M15</f>
        <v>2611</v>
      </c>
      <c r="N16" s="18"/>
    </row>
    <row r="17" ht="20.05" customHeight="1">
      <c r="B17" s="29"/>
      <c r="C17" s="17">
        <v>7041.1</v>
      </c>
      <c r="D17" s="18">
        <v>850</v>
      </c>
      <c r="E17" s="18">
        <v>-235</v>
      </c>
      <c r="F17" s="18"/>
      <c r="G17" s="18"/>
      <c r="H17" s="18"/>
      <c r="I17" s="18">
        <v>362</v>
      </c>
      <c r="J17" s="18">
        <f>D17+E17</f>
        <v>615</v>
      </c>
      <c r="K17" s="18">
        <f>AVERAGE(J14:J17)</f>
        <v>278.25</v>
      </c>
      <c r="L17" s="18"/>
      <c r="M17" s="18">
        <f>-(I17-F17)+M16</f>
        <v>2249</v>
      </c>
      <c r="N17" s="18"/>
    </row>
    <row r="18" ht="20.05" customHeight="1">
      <c r="B18" s="29"/>
      <c r="C18" s="17">
        <v>9312</v>
      </c>
      <c r="D18" s="18">
        <v>2112</v>
      </c>
      <c r="E18" s="18">
        <v>-228</v>
      </c>
      <c r="F18" s="18"/>
      <c r="G18" s="18"/>
      <c r="H18" s="18"/>
      <c r="I18" s="18">
        <v>-721</v>
      </c>
      <c r="J18" s="18">
        <f>D18+E18</f>
        <v>1884</v>
      </c>
      <c r="K18" s="18">
        <f>AVERAGE(J15:J18)</f>
        <v>668</v>
      </c>
      <c r="L18" s="18"/>
      <c r="M18" s="18">
        <f>-(I18-F18)+M17</f>
        <v>2970</v>
      </c>
      <c r="N18" s="18"/>
    </row>
    <row r="19" ht="20.05" customHeight="1">
      <c r="B19" s="30">
        <v>2019</v>
      </c>
      <c r="C19" s="17">
        <v>7686.7</v>
      </c>
      <c r="D19" s="18">
        <v>464</v>
      </c>
      <c r="E19" s="18">
        <v>-13308</v>
      </c>
      <c r="F19" s="18">
        <v>-84.5</v>
      </c>
      <c r="G19" s="18"/>
      <c r="H19" s="18"/>
      <c r="I19" s="18">
        <v>13341</v>
      </c>
      <c r="J19" s="18">
        <f>D19+E19</f>
        <v>-12844</v>
      </c>
      <c r="K19" s="18">
        <f>AVERAGE(J16:J19)</f>
        <v>-2616.25</v>
      </c>
      <c r="L19" s="18"/>
      <c r="M19" s="18">
        <f>-(I19-F19)+M18</f>
        <v>-10455.5</v>
      </c>
      <c r="N19" s="18"/>
    </row>
    <row r="20" ht="20.05" customHeight="1">
      <c r="B20" s="29"/>
      <c r="C20" s="17">
        <v>8488.200000000001</v>
      </c>
      <c r="D20" s="18">
        <v>-594</v>
      </c>
      <c r="E20" s="18">
        <v>-3190</v>
      </c>
      <c r="F20" s="18">
        <v>-84.5</v>
      </c>
      <c r="G20" s="18"/>
      <c r="H20" s="18"/>
      <c r="I20" s="18">
        <v>624</v>
      </c>
      <c r="J20" s="18">
        <f>D20+E20</f>
        <v>-3784</v>
      </c>
      <c r="K20" s="18">
        <f>AVERAGE(J17:J20)</f>
        <v>-3532.25</v>
      </c>
      <c r="L20" s="18"/>
      <c r="M20" s="18">
        <f>-(I20-F20)+M19</f>
        <v>-11164</v>
      </c>
      <c r="N20" s="18"/>
    </row>
    <row r="21" ht="20.05" customHeight="1">
      <c r="B21" s="29"/>
      <c r="C21" s="17">
        <v>11613.2</v>
      </c>
      <c r="D21" s="18">
        <v>1536</v>
      </c>
      <c r="E21" s="18">
        <v>-278</v>
      </c>
      <c r="F21" s="18">
        <v>-84.5</v>
      </c>
      <c r="G21" s="18"/>
      <c r="H21" s="18"/>
      <c r="I21" s="18">
        <v>-710</v>
      </c>
      <c r="J21" s="18">
        <f>D21+E21</f>
        <v>1258</v>
      </c>
      <c r="K21" s="18">
        <f>AVERAGE(J18:J21)</f>
        <v>-3371.5</v>
      </c>
      <c r="L21" s="18"/>
      <c r="M21" s="18">
        <f>-(I21-F21)+M20</f>
        <v>-10538.5</v>
      </c>
      <c r="N21" s="18"/>
    </row>
    <row r="22" ht="20.05" customHeight="1">
      <c r="B22" s="29"/>
      <c r="C22" s="17">
        <v>12682.1</v>
      </c>
      <c r="D22" s="18">
        <v>4203</v>
      </c>
      <c r="E22" s="18">
        <v>-385</v>
      </c>
      <c r="F22" s="18">
        <v>-84.5</v>
      </c>
      <c r="G22" s="18"/>
      <c r="H22" s="18"/>
      <c r="I22" s="18">
        <v>-2970</v>
      </c>
      <c r="J22" s="18">
        <f>D22+E22</f>
        <v>3818</v>
      </c>
      <c r="K22" s="18">
        <f>AVERAGE(J19:J22)</f>
        <v>-2888</v>
      </c>
      <c r="L22" s="18"/>
      <c r="M22" s="18">
        <f>-(I22-F22)+M21</f>
        <v>-7653</v>
      </c>
      <c r="N22" s="18"/>
    </row>
    <row r="23" ht="20.05" customHeight="1">
      <c r="B23" s="30">
        <v>2020</v>
      </c>
      <c r="C23" s="17">
        <v>8955.799999999999</v>
      </c>
      <c r="D23" s="18">
        <v>1098</v>
      </c>
      <c r="E23" s="18">
        <v>-361</v>
      </c>
      <c r="F23" s="18">
        <f t="shared" si="56" ref="F23:F26">-365/4</f>
        <v>-91.25</v>
      </c>
      <c r="G23" s="18"/>
      <c r="H23" s="18"/>
      <c r="I23" s="18">
        <v>-1453</v>
      </c>
      <c r="J23" s="18">
        <f>D23+E23</f>
        <v>737</v>
      </c>
      <c r="K23" s="18">
        <f>AVERAGE(J20:J23)</f>
        <v>507.25</v>
      </c>
      <c r="L23" s="18"/>
      <c r="M23" s="18">
        <f>-(I23-F23)+M22</f>
        <v>-6291.25</v>
      </c>
      <c r="N23" s="18"/>
    </row>
    <row r="24" ht="20.05" customHeight="1">
      <c r="B24" s="29"/>
      <c r="C24" s="17">
        <v>8009.2</v>
      </c>
      <c r="D24" s="18">
        <v>1260</v>
      </c>
      <c r="E24" s="18">
        <v>-256</v>
      </c>
      <c r="F24" s="18">
        <f t="shared" si="56"/>
        <v>-91.25</v>
      </c>
      <c r="G24" s="18"/>
      <c r="H24" s="18"/>
      <c r="I24" s="18">
        <v>-893</v>
      </c>
      <c r="J24" s="18">
        <f>D24+E24</f>
        <v>1004</v>
      </c>
      <c r="K24" s="18">
        <f>AVERAGE(J21:J24)</f>
        <v>1704.25</v>
      </c>
      <c r="L24" s="18"/>
      <c r="M24" s="18">
        <f>-(I24-F24)+M23</f>
        <v>-5489.5</v>
      </c>
      <c r="N24" s="18"/>
    </row>
    <row r="25" ht="20.05" customHeight="1">
      <c r="B25" s="29"/>
      <c r="C25" s="17">
        <v>9562.700000000001</v>
      </c>
      <c r="D25" s="18">
        <f>5081.6-SUM(D23:D24)</f>
        <v>2723.6</v>
      </c>
      <c r="E25" s="18">
        <f>-966-SUM(E23:E24)</f>
        <v>-349</v>
      </c>
      <c r="F25" s="18">
        <f t="shared" si="56"/>
        <v>-91.25</v>
      </c>
      <c r="G25" s="18"/>
      <c r="H25" s="18"/>
      <c r="I25" s="18">
        <f>-3632.4-SUM(I23:I24)</f>
        <v>-1286.4</v>
      </c>
      <c r="J25" s="18">
        <f>D25+E25</f>
        <v>2374.6</v>
      </c>
      <c r="K25" s="18">
        <f>AVERAGE(J22:J25)</f>
        <v>1983.4</v>
      </c>
      <c r="L25" s="18"/>
      <c r="M25" s="18">
        <f>-(I25-F25)+M24</f>
        <v>-4294.35</v>
      </c>
      <c r="N25" s="18"/>
    </row>
    <row r="26" ht="20.05" customHeight="1">
      <c r="B26" s="29"/>
      <c r="C26" s="17">
        <f>35553.2-SUM(C23:C25)</f>
        <v>9025.5</v>
      </c>
      <c r="D26" s="18">
        <f>7221.3-SUM(D23:D25)</f>
        <v>2139.7</v>
      </c>
      <c r="E26" s="18">
        <f>-2251.2-SUM(E23:E25)</f>
        <v>-1285.2</v>
      </c>
      <c r="F26" s="18">
        <f t="shared" si="56"/>
        <v>-91.25</v>
      </c>
      <c r="G26" s="18"/>
      <c r="H26" s="18"/>
      <c r="I26" s="18">
        <f>-6003.2-SUM(I23:I25)</f>
        <v>-2370.8</v>
      </c>
      <c r="J26" s="18">
        <f>D26+E26</f>
        <v>854.5</v>
      </c>
      <c r="K26" s="18">
        <f>AVERAGE(J23:J26)</f>
        <v>1242.525</v>
      </c>
      <c r="L26" s="18"/>
      <c r="M26" s="18">
        <f>-(I26-F26)+M25</f>
        <v>-2014.8</v>
      </c>
      <c r="N26" s="18"/>
    </row>
    <row r="27" ht="20.05" customHeight="1">
      <c r="B27" s="30">
        <v>2021</v>
      </c>
      <c r="C27" s="17">
        <v>8183</v>
      </c>
      <c r="D27" s="18">
        <v>1745.7</v>
      </c>
      <c r="E27" s="18">
        <v>-300.8</v>
      </c>
      <c r="F27" s="18">
        <v>-97.40000000000001</v>
      </c>
      <c r="G27" s="18">
        <f>-586+97</f>
        <v>-489</v>
      </c>
      <c r="H27" s="18"/>
      <c r="I27" s="18">
        <f>-586.4</f>
        <v>-586.4</v>
      </c>
      <c r="J27" s="18">
        <f>D27+E27</f>
        <v>1444.9</v>
      </c>
      <c r="K27" s="18">
        <f>AVERAGE(J24:J27)</f>
        <v>1419.5</v>
      </c>
      <c r="L27" s="18"/>
      <c r="M27" s="18">
        <f>-(I27-F27)+M26</f>
        <v>-1525.8</v>
      </c>
      <c r="N27" s="18"/>
    </row>
    <row r="28" ht="20.05" customHeight="1">
      <c r="B28" s="29"/>
      <c r="C28" s="17">
        <v>8155.4</v>
      </c>
      <c r="D28" s="18">
        <v>618.2</v>
      </c>
      <c r="E28" s="18">
        <v>756.9</v>
      </c>
      <c r="F28" s="18">
        <v>-163.5</v>
      </c>
      <c r="G28" s="18">
        <f>-3264+261-H28-G27</f>
        <v>-1381</v>
      </c>
      <c r="H28" s="18">
        <f>-1117-16</f>
        <v>-1133</v>
      </c>
      <c r="I28" s="18">
        <v>-2677.1</v>
      </c>
      <c r="J28" s="18">
        <f>D28+E28</f>
        <v>1375.1</v>
      </c>
      <c r="K28" s="18">
        <f>AVERAGE(J25:J28)</f>
        <v>1512.275</v>
      </c>
      <c r="L28" s="18"/>
      <c r="M28" s="18">
        <f>-(I28-F28)+M27</f>
        <v>987.8</v>
      </c>
      <c r="N28" s="18"/>
    </row>
    <row r="29" ht="20.05" customHeight="1">
      <c r="B29" s="29"/>
      <c r="C29" s="17">
        <f>25119.2-SUM(C27:C28)</f>
        <v>8780.799999999999</v>
      </c>
      <c r="D29" s="18">
        <f>4247.4-SUM(D27:D28)</f>
        <v>1883.5</v>
      </c>
      <c r="E29" s="18">
        <f>29.7-SUM(E27:E28)</f>
        <v>-426.4</v>
      </c>
      <c r="F29" s="18">
        <f>-406.5-SUM(F27:F28)</f>
        <v>-145.6</v>
      </c>
      <c r="G29" s="18">
        <f>410-360-5300-G28-G27</f>
        <v>-3380</v>
      </c>
      <c r="H29" s="18">
        <f>3120-1117-16-H28</f>
        <v>3120</v>
      </c>
      <c r="I29" s="18">
        <f>-3670.5-SUM(I27:I28)</f>
        <v>-407</v>
      </c>
      <c r="J29" s="18">
        <f>D29+E29</f>
        <v>1457.1</v>
      </c>
      <c r="K29" s="18">
        <f>AVERAGE(J26:J29)</f>
        <v>1282.9</v>
      </c>
      <c r="L29" s="18"/>
      <c r="M29" s="18">
        <f>-(I29-F29)+M28</f>
        <v>1249.2</v>
      </c>
      <c r="N29" s="18"/>
    </row>
    <row r="30" ht="20.05" customHeight="1">
      <c r="B30" s="29"/>
      <c r="C30" s="17">
        <f>34768-C29-C28-C27</f>
        <v>9648.799999999999</v>
      </c>
      <c r="D30" s="18">
        <f>6689-D29-D28-D27</f>
        <v>2441.6</v>
      </c>
      <c r="E30" s="18">
        <f>-1789-E29-E28-E27</f>
        <v>-1818.7</v>
      </c>
      <c r="F30" s="18">
        <f>-541-F29-F28-F27</f>
        <v>-134.5</v>
      </c>
      <c r="G30" s="18">
        <f>630-619-6800-G29-G28-G27</f>
        <v>-1539</v>
      </c>
      <c r="H30" s="18">
        <f>3120-1117-16-15-H29-H28</f>
        <v>-15</v>
      </c>
      <c r="I30" s="18">
        <f>-5361-I29-I28-I27</f>
        <v>-1690.5</v>
      </c>
      <c r="J30" s="18">
        <f>D30+E30</f>
        <v>622.9</v>
      </c>
      <c r="K30" s="18">
        <f>AVERAGE(J27:J30)</f>
        <v>1225</v>
      </c>
      <c r="L30" s="18">
        <f>K30</f>
        <v>1225</v>
      </c>
      <c r="M30" s="18">
        <f>-(I30-F30)+M29</f>
        <v>2805.2</v>
      </c>
      <c r="N30" s="18">
        <f>M30</f>
        <v>2805.2</v>
      </c>
    </row>
    <row r="31" ht="20.05" customHeight="1">
      <c r="B31" s="30">
        <v>2022</v>
      </c>
      <c r="C31" s="17"/>
      <c r="D31" s="18"/>
      <c r="E31" s="18"/>
      <c r="F31" s="18"/>
      <c r="G31" s="18"/>
      <c r="H31" s="18"/>
      <c r="I31" s="18"/>
      <c r="J31" s="18"/>
      <c r="K31" s="22"/>
      <c r="L31" s="18">
        <f>SUM('Model'!F9:F11)</f>
        <v>1221.876437499990</v>
      </c>
      <c r="M31" s="22"/>
      <c r="N31" s="18">
        <f>'Model'!F33</f>
        <v>4574.138312499980</v>
      </c>
    </row>
  </sheetData>
  <mergeCells count="1">
    <mergeCell ref="B1:N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4766" style="33" customWidth="1"/>
    <col min="2" max="2" width="7.65625" style="33" customWidth="1"/>
    <col min="3" max="11" width="10.8047" style="33" customWidth="1"/>
    <col min="12" max="16384" width="16.3516" style="33" customWidth="1"/>
  </cols>
  <sheetData>
    <row r="1" ht="59.8" customHeight="1"/>
    <row r="2" ht="27.65" customHeight="1">
      <c r="B2" t="s" s="2">
        <v>54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55</v>
      </c>
      <c r="D3" t="s" s="5">
        <v>56</v>
      </c>
      <c r="E3" t="s" s="5">
        <v>57</v>
      </c>
      <c r="F3" t="s" s="5">
        <v>24</v>
      </c>
      <c r="G3" t="s" s="5">
        <v>12</v>
      </c>
      <c r="H3" t="s" s="5">
        <v>58</v>
      </c>
      <c r="I3" t="s" s="5">
        <v>26</v>
      </c>
      <c r="J3" t="s" s="5">
        <v>59</v>
      </c>
      <c r="K3" t="s" s="5">
        <v>35</v>
      </c>
    </row>
    <row r="4" ht="20.25" customHeight="1">
      <c r="B4" s="25">
        <v>2015</v>
      </c>
      <c r="C4" s="26">
        <v>5358</v>
      </c>
      <c r="D4" s="27">
        <v>35959</v>
      </c>
      <c r="E4" s="27">
        <f>D4-C4</f>
        <v>30601</v>
      </c>
      <c r="F4" s="27">
        <f>47+10444+139</f>
        <v>10630</v>
      </c>
      <c r="G4" s="27">
        <v>9573</v>
      </c>
      <c r="H4" s="27">
        <v>26386</v>
      </c>
      <c r="I4" s="27">
        <f>G4+H4-C4-E4</f>
        <v>0</v>
      </c>
      <c r="J4" s="27">
        <f>C4-G4</f>
        <v>-4215</v>
      </c>
      <c r="K4" s="27"/>
    </row>
    <row r="5" ht="20.05" customHeight="1">
      <c r="B5" s="29"/>
      <c r="C5" s="17">
        <v>2866</v>
      </c>
      <c r="D5" s="18">
        <v>34684</v>
      </c>
      <c r="E5" s="18">
        <f>D5-C5</f>
        <v>31818</v>
      </c>
      <c r="F5" s="18">
        <f>51+10743+147</f>
        <v>10941</v>
      </c>
      <c r="G5" s="18">
        <v>9495</v>
      </c>
      <c r="H5" s="18">
        <v>25189</v>
      </c>
      <c r="I5" s="18">
        <f>G5+H5-C5-E5</f>
        <v>0</v>
      </c>
      <c r="J5" s="18">
        <f>C5-G5</f>
        <v>-6629</v>
      </c>
      <c r="K5" s="18"/>
    </row>
    <row r="6" ht="20.05" customHeight="1">
      <c r="B6" s="29"/>
      <c r="C6" s="17">
        <v>2642</v>
      </c>
      <c r="D6" s="18">
        <v>36355</v>
      </c>
      <c r="E6" s="18">
        <f>D6-C6</f>
        <v>33713</v>
      </c>
      <c r="F6" s="18">
        <f>55+11170+180</f>
        <v>11405</v>
      </c>
      <c r="G6" s="18">
        <v>10016</v>
      </c>
      <c r="H6" s="18">
        <v>26339</v>
      </c>
      <c r="I6" s="18">
        <f>G6+H6-C6-E6</f>
        <v>0</v>
      </c>
      <c r="J6" s="18">
        <f>C6-G6</f>
        <v>-7374</v>
      </c>
      <c r="K6" s="18"/>
    </row>
    <row r="7" ht="20.05" customHeight="1">
      <c r="B7" s="29"/>
      <c r="C7" s="17">
        <v>3964</v>
      </c>
      <c r="D7" s="18">
        <v>38153</v>
      </c>
      <c r="E7" s="18">
        <f>D7-C7</f>
        <v>34189</v>
      </c>
      <c r="F7" s="21">
        <f>15+11483+232</f>
        <v>11730</v>
      </c>
      <c r="G7" s="18">
        <v>10712</v>
      </c>
      <c r="H7" s="18">
        <v>27441</v>
      </c>
      <c r="I7" s="18">
        <f>G7+H7-C7-E7</f>
        <v>0</v>
      </c>
      <c r="J7" s="18">
        <f>C7-G7</f>
        <v>-6748</v>
      </c>
      <c r="K7" s="18"/>
    </row>
    <row r="8" ht="20.05" customHeight="1">
      <c r="B8" s="30">
        <v>2016</v>
      </c>
      <c r="C8" s="17">
        <v>4039</v>
      </c>
      <c r="D8" s="18">
        <v>39349</v>
      </c>
      <c r="E8" s="18">
        <f>D8-C8</f>
        <v>35310</v>
      </c>
      <c r="F8" s="18">
        <f>63+11809+284</f>
        <v>12156</v>
      </c>
      <c r="G8" s="18">
        <v>11035</v>
      </c>
      <c r="H8" s="18">
        <v>28314</v>
      </c>
      <c r="I8" s="18">
        <f>G8+H8-C8-E8</f>
        <v>0</v>
      </c>
      <c r="J8" s="18">
        <f>C8-G8</f>
        <v>-6996</v>
      </c>
      <c r="K8" s="18"/>
    </row>
    <row r="9" ht="20.05" customHeight="1">
      <c r="B9" s="29"/>
      <c r="C9" s="17">
        <v>2138</v>
      </c>
      <c r="D9" s="18">
        <v>39118</v>
      </c>
      <c r="E9" s="18">
        <f>D9-C9</f>
        <v>36980</v>
      </c>
      <c r="F9" s="18">
        <f>66+12316+292</f>
        <v>12674</v>
      </c>
      <c r="G9" s="18">
        <v>11561</v>
      </c>
      <c r="H9" s="18">
        <v>27557</v>
      </c>
      <c r="I9" s="18">
        <f>G9+H9-C9-E9</f>
        <v>0</v>
      </c>
      <c r="J9" s="18">
        <f>C9-G9</f>
        <v>-9423</v>
      </c>
      <c r="K9" s="18"/>
    </row>
    <row r="10" ht="20.05" customHeight="1">
      <c r="B10" s="29"/>
      <c r="C10" s="17">
        <v>2735</v>
      </c>
      <c r="D10" s="18">
        <v>40598</v>
      </c>
      <c r="E10" s="18">
        <f>D10-C10</f>
        <v>37863</v>
      </c>
      <c r="F10" s="18">
        <f>70+12683+317</f>
        <v>13070</v>
      </c>
      <c r="G10" s="18">
        <v>12107</v>
      </c>
      <c r="H10" s="18">
        <v>28490</v>
      </c>
      <c r="I10" s="18">
        <f>G10+H10-C10-E10</f>
        <v>-1</v>
      </c>
      <c r="J10" s="18">
        <f>C10-G10</f>
        <v>-9372</v>
      </c>
      <c r="K10" s="18"/>
    </row>
    <row r="11" ht="20.05" customHeight="1">
      <c r="B11" s="29"/>
      <c r="C11" s="17">
        <v>2834</v>
      </c>
      <c r="D11" s="18">
        <v>44227</v>
      </c>
      <c r="E11" s="18">
        <f>D11-C11</f>
        <v>41393</v>
      </c>
      <c r="F11" s="18">
        <f>74+13594+51+300</f>
        <v>14019</v>
      </c>
      <c r="G11" s="18">
        <v>13653</v>
      </c>
      <c r="H11" s="18">
        <v>30574</v>
      </c>
      <c r="I11" s="18">
        <f>G11+H11-C11-E11</f>
        <v>0</v>
      </c>
      <c r="J11" s="18">
        <f>C11-G11</f>
        <v>-10819</v>
      </c>
      <c r="K11" s="18"/>
    </row>
    <row r="12" ht="20.05" customHeight="1">
      <c r="B12" s="30">
        <v>2017</v>
      </c>
      <c r="C12" s="17">
        <v>2874</v>
      </c>
      <c r="D12" s="18">
        <v>45096</v>
      </c>
      <c r="E12" s="18">
        <f>D12-C12</f>
        <v>42222</v>
      </c>
      <c r="F12" s="18">
        <f>78+13980+314</f>
        <v>14372</v>
      </c>
      <c r="G12" s="18">
        <v>15651</v>
      </c>
      <c r="H12" s="18">
        <v>29444</v>
      </c>
      <c r="I12" s="18">
        <f>G12+H12-C12-E12</f>
        <v>-1</v>
      </c>
      <c r="J12" s="18">
        <f>C12-G12</f>
        <v>-12777</v>
      </c>
      <c r="K12" s="18"/>
    </row>
    <row r="13" ht="20.05" customHeight="1">
      <c r="B13" s="29"/>
      <c r="C13" s="17">
        <v>4619</v>
      </c>
      <c r="D13" s="18">
        <v>48648</v>
      </c>
      <c r="E13" s="18">
        <f>D13-C13</f>
        <v>44029</v>
      </c>
      <c r="F13" s="18">
        <f>82+14411+330</f>
        <v>14823</v>
      </c>
      <c r="G13" s="18">
        <v>18910</v>
      </c>
      <c r="H13" s="18">
        <v>29739</v>
      </c>
      <c r="I13" s="18">
        <f>G13+H13-C13-E13</f>
        <v>1</v>
      </c>
      <c r="J13" s="18">
        <f>C13-G13</f>
        <v>-14291</v>
      </c>
      <c r="K13" s="18"/>
    </row>
    <row r="14" ht="20.05" customHeight="1">
      <c r="B14" s="29"/>
      <c r="C14" s="17">
        <v>2674</v>
      </c>
      <c r="D14" s="18">
        <v>47291</v>
      </c>
      <c r="E14" s="18">
        <f>D14-C14</f>
        <v>44617</v>
      </c>
      <c r="F14" s="18">
        <f>86+14957+375</f>
        <v>15418</v>
      </c>
      <c r="G14" s="18">
        <v>17143</v>
      </c>
      <c r="H14" s="18">
        <v>30148</v>
      </c>
      <c r="I14" s="18">
        <f>G14+H14-C14-E14</f>
        <v>0</v>
      </c>
      <c r="J14" s="18">
        <f>C14-G14</f>
        <v>-14469</v>
      </c>
      <c r="K14" s="18"/>
    </row>
    <row r="15" ht="20.05" customHeight="1">
      <c r="B15" s="29"/>
      <c r="C15" s="17">
        <v>3638</v>
      </c>
      <c r="D15" s="18">
        <v>48964</v>
      </c>
      <c r="E15" s="18">
        <f>D15-C15</f>
        <v>45326</v>
      </c>
      <c r="F15" s="18">
        <f>89+15369+61+371</f>
        <v>15890</v>
      </c>
      <c r="G15" s="18">
        <v>18525</v>
      </c>
      <c r="H15" s="18">
        <v>30439</v>
      </c>
      <c r="I15" s="18">
        <f>G15+H15-C15-E15</f>
        <v>0</v>
      </c>
      <c r="J15" s="18">
        <f>C15-G15</f>
        <v>-14887</v>
      </c>
      <c r="K15" s="18"/>
    </row>
    <row r="16" ht="20.05" customHeight="1">
      <c r="B16" s="30">
        <v>2018</v>
      </c>
      <c r="C16" s="17">
        <v>4034</v>
      </c>
      <c r="D16" s="18">
        <v>49714</v>
      </c>
      <c r="E16" s="18">
        <f>D16-C16</f>
        <v>45680</v>
      </c>
      <c r="F16" s="18">
        <f>93+15819+63+386</f>
        <v>16361</v>
      </c>
      <c r="G16" s="18">
        <v>18828</v>
      </c>
      <c r="H16" s="18">
        <v>30886</v>
      </c>
      <c r="I16" s="18">
        <f>G16+H16-C16-E16</f>
        <v>0</v>
      </c>
      <c r="J16" s="18">
        <f>C16-G16</f>
        <v>-14794</v>
      </c>
      <c r="K16" s="18"/>
    </row>
    <row r="17" ht="20.05" customHeight="1">
      <c r="B17" s="29"/>
      <c r="C17" s="17">
        <v>3105</v>
      </c>
      <c r="D17" s="18">
        <v>49169</v>
      </c>
      <c r="E17" s="18">
        <f>D17-C17</f>
        <v>46064</v>
      </c>
      <c r="F17" s="18">
        <f>97+16282+66+405</f>
        <v>16850</v>
      </c>
      <c r="G17" s="18">
        <v>18540</v>
      </c>
      <c r="H17" s="18">
        <v>30630</v>
      </c>
      <c r="I17" s="18">
        <f>G17+H17-C17-E17</f>
        <v>1</v>
      </c>
      <c r="J17" s="18">
        <f>C17-G17</f>
        <v>-15435</v>
      </c>
      <c r="K17" s="18"/>
    </row>
    <row r="18" ht="20.05" customHeight="1">
      <c r="B18" s="29"/>
      <c r="C18" s="17">
        <v>4082</v>
      </c>
      <c r="D18" s="18">
        <v>50776</v>
      </c>
      <c r="E18" s="18">
        <f>D18-C18</f>
        <v>46694</v>
      </c>
      <c r="F18" s="18">
        <f>101+16682+69+428</f>
        <v>17280</v>
      </c>
      <c r="G18" s="18">
        <v>19088</v>
      </c>
      <c r="H18" s="18">
        <v>31688</v>
      </c>
      <c r="I18" s="18">
        <f>G18+H18-C18-E18</f>
        <v>0</v>
      </c>
      <c r="J18" s="18">
        <f>C18-G18</f>
        <v>-15006</v>
      </c>
      <c r="K18" s="18"/>
    </row>
    <row r="19" ht="20.05" customHeight="1">
      <c r="B19" s="29"/>
      <c r="C19" s="17">
        <v>5246</v>
      </c>
      <c r="D19" s="18">
        <v>50784</v>
      </c>
      <c r="E19" s="18">
        <f>D19-C19</f>
        <v>45538</v>
      </c>
      <c r="F19" s="18">
        <f>104+16967+71+429</f>
        <v>17571</v>
      </c>
      <c r="G19" s="18">
        <v>18169</v>
      </c>
      <c r="H19" s="18">
        <v>32615</v>
      </c>
      <c r="I19" s="18">
        <f>G19+H19-C19-E19</f>
        <v>0</v>
      </c>
      <c r="J19" s="18">
        <f>C19-G19</f>
        <v>-12923</v>
      </c>
      <c r="K19" s="18"/>
    </row>
    <row r="20" ht="20.05" customHeight="1">
      <c r="B20" s="30">
        <v>2019</v>
      </c>
      <c r="C20" s="17">
        <v>6049</v>
      </c>
      <c r="D20" s="18">
        <v>77964</v>
      </c>
      <c r="E20" s="18">
        <f>D20-C20</f>
        <v>71915</v>
      </c>
      <c r="F20" s="18">
        <f>108+28824+73+580</f>
        <v>29585</v>
      </c>
      <c r="G20" s="18">
        <v>43949</v>
      </c>
      <c r="H20" s="18">
        <v>34015</v>
      </c>
      <c r="I20" s="18">
        <f>G20+H20-C20-E20</f>
        <v>0</v>
      </c>
      <c r="J20" s="18">
        <f>C20-G20</f>
        <v>-37900</v>
      </c>
      <c r="K20" s="18"/>
    </row>
    <row r="21" ht="20.05" customHeight="1">
      <c r="B21" s="29"/>
      <c r="C21" s="17">
        <v>2889</v>
      </c>
      <c r="D21" s="18">
        <v>76983</v>
      </c>
      <c r="E21" s="18">
        <f>D21-C21</f>
        <v>74094</v>
      </c>
      <c r="F21" s="18">
        <f>112+29352+75+518</f>
        <v>30057</v>
      </c>
      <c r="G21" s="18">
        <v>45064</v>
      </c>
      <c r="H21" s="18">
        <v>31919</v>
      </c>
      <c r="I21" s="18">
        <f>G21+H21-C21-E21</f>
        <v>0</v>
      </c>
      <c r="J21" s="18">
        <f>C21-G21</f>
        <v>-42175</v>
      </c>
      <c r="K21" s="21"/>
    </row>
    <row r="22" ht="20.05" customHeight="1">
      <c r="B22" s="29"/>
      <c r="C22" s="17">
        <v>3436</v>
      </c>
      <c r="D22" s="18">
        <v>80596</v>
      </c>
      <c r="E22" s="18">
        <f>D22-C22</f>
        <v>77160</v>
      </c>
      <c r="F22" s="18">
        <f>29827+116+75+703</f>
        <v>30721</v>
      </c>
      <c r="G22" s="18">
        <v>47636</v>
      </c>
      <c r="H22" s="18">
        <v>32960</v>
      </c>
      <c r="I22" s="18">
        <f>G22+H22-C22-E22</f>
        <v>0</v>
      </c>
      <c r="J22" s="18">
        <f>C22-G22</f>
        <v>-44200</v>
      </c>
      <c r="K22" s="21"/>
    </row>
    <row r="23" ht="20.05" customHeight="1">
      <c r="B23" s="29"/>
      <c r="C23" s="17">
        <v>3950</v>
      </c>
      <c r="D23" s="18">
        <v>79807</v>
      </c>
      <c r="E23" s="18">
        <f>D23-C23</f>
        <v>75857</v>
      </c>
      <c r="F23" s="18">
        <f>119+30369+583</f>
        <v>31071</v>
      </c>
      <c r="G23" s="18">
        <v>45915</v>
      </c>
      <c r="H23" s="18">
        <v>33892</v>
      </c>
      <c r="I23" s="18">
        <f>G23+H23-C23-E23</f>
        <v>0</v>
      </c>
      <c r="J23" s="18">
        <f>C23-G23</f>
        <v>-41965</v>
      </c>
      <c r="K23" s="21"/>
    </row>
    <row r="24" ht="20.05" customHeight="1">
      <c r="B24" s="30">
        <v>2020</v>
      </c>
      <c r="C24" s="17">
        <v>3235</v>
      </c>
      <c r="D24" s="18">
        <v>79284</v>
      </c>
      <c r="E24" s="18">
        <f>D24-C24</f>
        <v>76049</v>
      </c>
      <c r="F24" s="18">
        <f>656+19817+123</f>
        <v>20596</v>
      </c>
      <c r="G24" s="18">
        <v>44564</v>
      </c>
      <c r="H24" s="18">
        <v>34720</v>
      </c>
      <c r="I24" s="18">
        <f>G24+H24-C24-E24</f>
        <v>0</v>
      </c>
      <c r="J24" s="18">
        <f>C24-G24</f>
        <v>-41329</v>
      </c>
      <c r="K24" s="21"/>
    </row>
    <row r="25" ht="20.05" customHeight="1">
      <c r="B25" s="29"/>
      <c r="C25" s="17">
        <v>3345</v>
      </c>
      <c r="D25" s="18">
        <v>78299</v>
      </c>
      <c r="E25" s="18">
        <f>D25-C25</f>
        <v>74954</v>
      </c>
      <c r="F25" s="18">
        <f>20138+127+631</f>
        <v>20896</v>
      </c>
      <c r="G25" s="18">
        <v>43928</v>
      </c>
      <c r="H25" s="18">
        <v>34371</v>
      </c>
      <c r="I25" s="18">
        <f>G25+H25-C25-E25</f>
        <v>0</v>
      </c>
      <c r="J25" s="18">
        <f>C25-G25</f>
        <v>-40583</v>
      </c>
      <c r="K25" s="21"/>
    </row>
    <row r="26" ht="20.05" customHeight="1">
      <c r="B26" s="29"/>
      <c r="C26" s="17">
        <v>4483</v>
      </c>
      <c r="D26" s="18">
        <v>80217</v>
      </c>
      <c r="E26" s="18">
        <f>D26-C26</f>
        <v>75734</v>
      </c>
      <c r="F26" s="18">
        <f>21184+125+680</f>
        <v>21989</v>
      </c>
      <c r="G26" s="18">
        <v>44903</v>
      </c>
      <c r="H26" s="18">
        <v>35314</v>
      </c>
      <c r="I26" s="18">
        <f>G26+H26-C26-E26</f>
        <v>0</v>
      </c>
      <c r="J26" s="18">
        <f>C26-G26</f>
        <v>-40420</v>
      </c>
      <c r="K26" s="21"/>
    </row>
    <row r="27" ht="20.05" customHeight="1">
      <c r="B27" s="29"/>
      <c r="C27" s="17">
        <v>2931</v>
      </c>
      <c r="D27" s="18">
        <v>78006</v>
      </c>
      <c r="E27" s="18">
        <f>D27-C27</f>
        <v>75075</v>
      </c>
      <c r="F27" s="18">
        <f>21904+128+903</f>
        <v>22935</v>
      </c>
      <c r="G27" s="18">
        <v>42353</v>
      </c>
      <c r="H27" s="18">
        <v>35653</v>
      </c>
      <c r="I27" s="18">
        <f>G27+H27-C27-E27</f>
        <v>0</v>
      </c>
      <c r="J27" s="18">
        <f>C27-G27</f>
        <v>-39422</v>
      </c>
      <c r="K27" s="21"/>
    </row>
    <row r="28" ht="20.05" customHeight="1">
      <c r="B28" s="30">
        <v>2021</v>
      </c>
      <c r="C28" s="17">
        <v>3805</v>
      </c>
      <c r="D28" s="18">
        <v>78427</v>
      </c>
      <c r="E28" s="18">
        <f>D28-C28</f>
        <v>74622</v>
      </c>
      <c r="F28" s="18">
        <f>22688+130+940</f>
        <v>23758</v>
      </c>
      <c r="G28" s="18">
        <v>41629</v>
      </c>
      <c r="H28" s="18">
        <f>1781+35017</f>
        <v>36798</v>
      </c>
      <c r="I28" s="18">
        <f>G28+H28-C28-E28</f>
        <v>0</v>
      </c>
      <c r="J28" s="18">
        <f>C28-G28</f>
        <v>-37824</v>
      </c>
      <c r="K28" s="18"/>
    </row>
    <row r="29" ht="20.05" customHeight="1">
      <c r="B29" s="29"/>
      <c r="C29" s="17">
        <v>2500</v>
      </c>
      <c r="D29" s="18">
        <v>75028</v>
      </c>
      <c r="E29" s="18">
        <f>D29-C29</f>
        <v>72528</v>
      </c>
      <c r="F29" s="18">
        <f>23415+982</f>
        <v>24397</v>
      </c>
      <c r="G29" s="18">
        <v>37907</v>
      </c>
      <c r="H29" s="18">
        <f>1781+35340</f>
        <v>37121</v>
      </c>
      <c r="I29" s="18">
        <f>G29+H29-C29-E29</f>
        <v>0</v>
      </c>
      <c r="J29" s="18">
        <f>C29-G29</f>
        <v>-35407</v>
      </c>
      <c r="K29" s="18"/>
    </row>
    <row r="30" ht="20.05" customHeight="1">
      <c r="B30" s="29"/>
      <c r="C30" s="17">
        <v>3539</v>
      </c>
      <c r="D30" s="18">
        <v>76609</v>
      </c>
      <c r="E30" s="18">
        <f>D30-C30</f>
        <v>73070</v>
      </c>
      <c r="F30" s="18">
        <f>132+24139+1030</f>
        <v>25301</v>
      </c>
      <c r="G30" s="18">
        <v>35741</v>
      </c>
      <c r="H30" s="18">
        <f>1781+39087</f>
        <v>40868</v>
      </c>
      <c r="I30" s="18">
        <f>G30+H30-C30-E30</f>
        <v>0</v>
      </c>
      <c r="J30" s="18">
        <f>C30-G30</f>
        <v>-32202</v>
      </c>
      <c r="K30" s="18"/>
    </row>
    <row r="31" ht="20.05" customHeight="1">
      <c r="B31" s="29"/>
      <c r="C31" s="17">
        <v>2470</v>
      </c>
      <c r="D31" s="18">
        <v>76504</v>
      </c>
      <c r="E31" s="18">
        <f>D31-C31</f>
        <v>74034</v>
      </c>
      <c r="F31" s="18">
        <f>24753+1064+128</f>
        <v>25945</v>
      </c>
      <c r="G31" s="18">
        <f>34940</f>
        <v>34940</v>
      </c>
      <c r="H31" s="18">
        <f>D31-G31</f>
        <v>41564</v>
      </c>
      <c r="I31" s="18">
        <f>G31+H31-C31-E31</f>
        <v>0</v>
      </c>
      <c r="J31" s="18">
        <f>C31-G31</f>
        <v>-32470</v>
      </c>
      <c r="K31" s="18">
        <f>J31</f>
        <v>-32470</v>
      </c>
    </row>
    <row r="32" ht="20.05" customHeight="1">
      <c r="B32" s="30">
        <v>2022</v>
      </c>
      <c r="C32" s="17"/>
      <c r="D32" s="18"/>
      <c r="E32" s="18"/>
      <c r="F32" s="18"/>
      <c r="G32" s="18"/>
      <c r="H32" s="18"/>
      <c r="I32" s="18"/>
      <c r="J32" s="18"/>
      <c r="K32" s="18">
        <f>'Model'!F31</f>
        <v>-28932.66318125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9844" style="34" customWidth="1"/>
    <col min="2" max="2" width="7.75" style="34" customWidth="1"/>
    <col min="3" max="5" width="9.55469" style="34" customWidth="1"/>
    <col min="6" max="16384" width="16.3516" style="34" customWidth="1"/>
  </cols>
  <sheetData>
    <row r="1" ht="38" customHeight="1"/>
    <row r="2" ht="27.65" customHeight="1">
      <c r="B2" t="s" s="2">
        <v>60</v>
      </c>
      <c r="C2" s="2"/>
      <c r="D2" s="2"/>
      <c r="E2" s="2"/>
    </row>
    <row r="3" ht="20.25" customHeight="1">
      <c r="B3" s="4"/>
      <c r="C3" t="s" s="5">
        <v>61</v>
      </c>
      <c r="D3" t="s" s="5">
        <v>38</v>
      </c>
      <c r="E3" t="s" s="5">
        <v>62</v>
      </c>
    </row>
    <row r="4" ht="20.25" customHeight="1">
      <c r="B4" s="25">
        <v>2018</v>
      </c>
      <c r="C4" s="26">
        <v>10350</v>
      </c>
      <c r="D4" s="27"/>
      <c r="E4" s="27"/>
    </row>
    <row r="5" ht="20.05" customHeight="1">
      <c r="B5" s="29"/>
      <c r="C5" s="17">
        <v>7125</v>
      </c>
      <c r="D5" s="18"/>
      <c r="E5" s="18"/>
    </row>
    <row r="6" ht="20.05" customHeight="1">
      <c r="B6" s="29"/>
      <c r="C6" s="17">
        <v>9925</v>
      </c>
      <c r="D6" s="18"/>
      <c r="E6" s="18"/>
    </row>
    <row r="7" ht="20.05" customHeight="1">
      <c r="B7" s="29"/>
      <c r="C7" s="17">
        <v>11500</v>
      </c>
      <c r="D7" s="18"/>
      <c r="E7" s="18"/>
    </row>
    <row r="8" ht="20.05" customHeight="1">
      <c r="B8" s="30">
        <v>2019</v>
      </c>
      <c r="C8" s="17">
        <v>13950</v>
      </c>
      <c r="D8" s="18"/>
      <c r="E8" s="18"/>
    </row>
    <row r="9" ht="20.05" customHeight="1">
      <c r="B9" s="29"/>
      <c r="C9" s="17">
        <v>11575</v>
      </c>
      <c r="D9" s="18"/>
      <c r="E9" s="18"/>
    </row>
    <row r="10" ht="20.05" customHeight="1">
      <c r="B10" s="29"/>
      <c r="C10" s="17">
        <v>11550</v>
      </c>
      <c r="D10" s="22"/>
      <c r="E10" s="22"/>
    </row>
    <row r="11" ht="20.05" customHeight="1">
      <c r="B11" s="29"/>
      <c r="C11" s="17">
        <v>12000</v>
      </c>
      <c r="D11" s="22"/>
      <c r="E11" s="22"/>
    </row>
    <row r="12" ht="20.05" customHeight="1">
      <c r="B12" s="30">
        <v>2020</v>
      </c>
      <c r="C12" s="17">
        <v>7625</v>
      </c>
      <c r="D12" s="22"/>
      <c r="E12" s="22"/>
    </row>
    <row r="13" ht="20.05" customHeight="1">
      <c r="B13" s="29"/>
      <c r="C13" s="17">
        <v>9625</v>
      </c>
      <c r="D13" s="22"/>
      <c r="E13" s="22"/>
    </row>
    <row r="14" ht="20.05" customHeight="1">
      <c r="B14" s="29"/>
      <c r="C14" s="17">
        <v>9175</v>
      </c>
      <c r="D14" s="22"/>
      <c r="E14" s="18">
        <v>14838.8250087123</v>
      </c>
    </row>
    <row r="15" ht="20.05" customHeight="1">
      <c r="B15" s="29"/>
      <c r="C15" s="17">
        <v>12425</v>
      </c>
      <c r="D15" s="22"/>
      <c r="E15" s="18">
        <v>18796.6280295047</v>
      </c>
    </row>
    <row r="16" ht="20.05" customHeight="1">
      <c r="B16" s="30">
        <v>2021</v>
      </c>
      <c r="C16" s="17">
        <v>10235.334961</v>
      </c>
      <c r="D16" s="22"/>
      <c r="E16" s="18">
        <v>21981.7386986301</v>
      </c>
    </row>
    <row r="17" ht="20.05" customHeight="1">
      <c r="B17" s="29"/>
      <c r="C17" s="17">
        <v>9325</v>
      </c>
      <c r="D17" s="22"/>
      <c r="E17" s="18">
        <v>24329.8841050361</v>
      </c>
    </row>
    <row r="18" ht="20.05" customHeight="1">
      <c r="B18" s="29"/>
      <c r="C18" s="17">
        <v>8100</v>
      </c>
      <c r="D18" s="22"/>
      <c r="E18" s="22"/>
    </row>
    <row r="19" ht="20.05" customHeight="1">
      <c r="B19" s="29"/>
      <c r="C19" s="17">
        <v>7250</v>
      </c>
      <c r="D19" s="22"/>
      <c r="E19" s="22"/>
    </row>
    <row r="20" ht="20.05" customHeight="1">
      <c r="B20" s="30">
        <v>2022</v>
      </c>
      <c r="C20" s="17">
        <v>7200</v>
      </c>
      <c r="D20" s="18">
        <f>C20</f>
        <v>7200</v>
      </c>
      <c r="E20" s="22"/>
    </row>
    <row r="21" ht="20.05" customHeight="1">
      <c r="B21" s="29"/>
      <c r="C21" s="17"/>
      <c r="D21" s="18">
        <f>'Model'!F44</f>
        <v>11240.9776034325</v>
      </c>
      <c r="E21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3.0781" style="35" customWidth="1"/>
    <col min="2" max="8" width="11.8438" style="35" customWidth="1"/>
    <col min="9" max="16384" width="16.3516" style="35" customWidth="1"/>
  </cols>
  <sheetData>
    <row r="1" ht="27.65" customHeight="1">
      <c r="A1" t="s" s="2">
        <v>29</v>
      </c>
      <c r="B1" s="2"/>
      <c r="C1" s="2"/>
      <c r="D1" s="2"/>
      <c r="E1" s="2"/>
      <c r="F1" s="2"/>
      <c r="G1" s="2"/>
      <c r="H1" s="2"/>
    </row>
    <row r="2" ht="20.25" customHeight="1">
      <c r="A2" s="36"/>
      <c r="B2" t="s" s="5">
        <v>12</v>
      </c>
      <c r="C2" t="s" s="5">
        <v>51</v>
      </c>
      <c r="D2" t="s" s="5">
        <v>63</v>
      </c>
      <c r="E2" t="s" s="5">
        <v>12</v>
      </c>
      <c r="F2" t="s" s="5">
        <v>51</v>
      </c>
      <c r="G2" t="s" s="5">
        <v>63</v>
      </c>
      <c r="H2" t="s" s="5">
        <v>64</v>
      </c>
    </row>
    <row r="3" ht="20.25" customHeight="1">
      <c r="A3" s="25">
        <v>2002</v>
      </c>
      <c r="B3" s="26">
        <f>-2434.615-C3</f>
        <v>-2275.882</v>
      </c>
      <c r="C3" s="27">
        <v>-158.733</v>
      </c>
      <c r="D3" s="27">
        <f>B3+C3</f>
        <v>-2434.615</v>
      </c>
      <c r="E3" s="27">
        <f>B3</f>
        <v>-2275.882</v>
      </c>
      <c r="F3" s="27">
        <f>C3</f>
        <v>-158.733</v>
      </c>
      <c r="G3" s="27">
        <f>D3</f>
        <v>-2434.615</v>
      </c>
      <c r="H3" s="8"/>
    </row>
    <row r="4" ht="20.05" customHeight="1">
      <c r="A4" s="30">
        <v>2003</v>
      </c>
      <c r="B4" s="17">
        <f>-890.609-C4</f>
        <v>-822.379</v>
      </c>
      <c r="C4" s="18">
        <v>-68.23</v>
      </c>
      <c r="D4" s="18">
        <f>B4+C4</f>
        <v>-890.609</v>
      </c>
      <c r="E4" s="18">
        <f>B4+E3</f>
        <v>-3098.261</v>
      </c>
      <c r="F4" s="18">
        <f>C4+F3</f>
        <v>-226.963</v>
      </c>
      <c r="G4" s="18">
        <f>D4+G3</f>
        <v>-3325.224</v>
      </c>
      <c r="H4" s="22"/>
    </row>
    <row r="5" ht="20.05" customHeight="1">
      <c r="A5" s="30">
        <v>2004</v>
      </c>
      <c r="B5" s="17">
        <f>-434.424-C5</f>
        <v>-291.167</v>
      </c>
      <c r="C5" s="18">
        <v>-143.257</v>
      </c>
      <c r="D5" s="18">
        <f>B5+C5</f>
        <v>-434.424</v>
      </c>
      <c r="E5" s="18">
        <f>B5+E4</f>
        <v>-3389.428</v>
      </c>
      <c r="F5" s="18">
        <f>C5+F4</f>
        <v>-370.22</v>
      </c>
      <c r="G5" s="18">
        <f>D5+G4</f>
        <v>-3759.648</v>
      </c>
      <c r="H5" s="22"/>
    </row>
    <row r="6" ht="20.05" customHeight="1">
      <c r="A6" s="30">
        <v>2005</v>
      </c>
      <c r="B6" s="17">
        <f>-515.737-C6</f>
        <v>-357.063</v>
      </c>
      <c r="C6" s="18">
        <v>-158.674</v>
      </c>
      <c r="D6" s="18">
        <f>B6+C6</f>
        <v>-515.737</v>
      </c>
      <c r="E6" s="18">
        <f>B6+E5</f>
        <v>-3746.491</v>
      </c>
      <c r="F6" s="18">
        <f>C6+F5</f>
        <v>-528.894</v>
      </c>
      <c r="G6" s="18">
        <f>D6+G5</f>
        <v>-4275.385</v>
      </c>
      <c r="H6" s="22"/>
    </row>
    <row r="7" ht="20.05" customHeight="1">
      <c r="A7" s="30">
        <v>2006</v>
      </c>
      <c r="B7" s="17">
        <f>-893.186-C7</f>
        <v>-630.349</v>
      </c>
      <c r="C7" s="18">
        <v>-262.837</v>
      </c>
      <c r="D7" s="18">
        <f>B7+C7</f>
        <v>-893.186</v>
      </c>
      <c r="E7" s="18">
        <f>B7+E6</f>
        <v>-4376.84</v>
      </c>
      <c r="F7" s="18">
        <f>C7+F6</f>
        <v>-791.731</v>
      </c>
      <c r="G7" s="18">
        <f>D7+G6</f>
        <v>-5168.571</v>
      </c>
      <c r="H7" s="22"/>
    </row>
    <row r="8" ht="20.05" customHeight="1">
      <c r="A8" s="30">
        <v>2007</v>
      </c>
      <c r="B8" s="17">
        <f>70.5-104.4-30.843</f>
        <v>-64.74299999999999</v>
      </c>
      <c r="C8" s="18">
        <v>-647.76</v>
      </c>
      <c r="D8" s="18">
        <f>B8+C8</f>
        <v>-712.503</v>
      </c>
      <c r="E8" s="18">
        <f>B8+E7</f>
        <v>-4441.583</v>
      </c>
      <c r="F8" s="18">
        <f>C8+F7</f>
        <v>-1439.491</v>
      </c>
      <c r="G8" s="18">
        <f>D8+G7</f>
        <v>-5881.074</v>
      </c>
      <c r="H8" s="22"/>
    </row>
    <row r="9" ht="20.05" customHeight="1">
      <c r="A9" s="30">
        <v>2008</v>
      </c>
      <c r="B9" s="17">
        <f>2.45-53.112-30.843</f>
        <v>-81.505</v>
      </c>
      <c r="C9" s="18">
        <f>-887.711-190.515</f>
        <v>-1078.226</v>
      </c>
      <c r="D9" s="18">
        <f>B9+C9</f>
        <v>-1159.731</v>
      </c>
      <c r="E9" s="18">
        <f>B9+E8</f>
        <v>-4523.088</v>
      </c>
      <c r="F9" s="18">
        <f>C9+F8</f>
        <v>-2517.717</v>
      </c>
      <c r="G9" s="18">
        <f>D9+G8</f>
        <v>-7040.805</v>
      </c>
      <c r="H9" s="22"/>
    </row>
    <row r="10" ht="20.05" customHeight="1">
      <c r="A10" s="30">
        <v>2009</v>
      </c>
      <c r="B10" s="17">
        <f>28.839-29.239-8.69</f>
        <v>-9.09</v>
      </c>
      <c r="C10" s="18">
        <f>409.574-1605.792-8.157</f>
        <v>-1204.375</v>
      </c>
      <c r="D10" s="18">
        <f>B10+C10</f>
        <v>-1213.465</v>
      </c>
      <c r="E10" s="18">
        <f>B10+E9</f>
        <v>-4532.178</v>
      </c>
      <c r="F10" s="18">
        <f>C10+F9</f>
        <v>-3722.092</v>
      </c>
      <c r="G10" s="18">
        <f>D10+G9</f>
        <v>-8254.27</v>
      </c>
      <c r="H10" s="22"/>
    </row>
    <row r="11" ht="20.05" customHeight="1">
      <c r="A11" s="30">
        <v>2010</v>
      </c>
      <c r="B11" s="17">
        <f>610.338-69.799-23.977</f>
        <v>516.562</v>
      </c>
      <c r="C11" s="18">
        <f>-1829.577-12.995</f>
        <v>-1842.572</v>
      </c>
      <c r="D11" s="18">
        <f>B11+C11</f>
        <v>-1326.01</v>
      </c>
      <c r="E11" s="18">
        <f>B11+E10</f>
        <v>-4015.616</v>
      </c>
      <c r="F11" s="18">
        <f>C11+F10</f>
        <v>-5564.664</v>
      </c>
      <c r="G11" s="18">
        <f>D11+G10</f>
        <v>-9580.280000000001</v>
      </c>
      <c r="H11" s="22"/>
    </row>
    <row r="12" ht="20.05" customHeight="1">
      <c r="A12" s="30">
        <v>2011</v>
      </c>
      <c r="B12" s="20">
        <v>1108</v>
      </c>
      <c r="C12" s="18">
        <v>-1485.259</v>
      </c>
      <c r="D12" s="18">
        <f>B12+C12</f>
        <v>-377.259</v>
      </c>
      <c r="E12" s="18">
        <f>B12+E11</f>
        <v>-2907.616</v>
      </c>
      <c r="F12" s="18">
        <f>C12+F11</f>
        <v>-7049.923</v>
      </c>
      <c r="G12" s="18">
        <f>D12+G11</f>
        <v>-9957.539000000001</v>
      </c>
      <c r="H12" s="22"/>
    </row>
    <row r="13" ht="20.05" customHeight="1">
      <c r="A13" s="30">
        <v>2012</v>
      </c>
      <c r="B13" s="17">
        <v>829.221</v>
      </c>
      <c r="C13" s="18">
        <v>-1976.04</v>
      </c>
      <c r="D13" s="18">
        <f>B13+C13</f>
        <v>-1146.819</v>
      </c>
      <c r="E13" s="18">
        <f>B13+E12</f>
        <v>-2078.395</v>
      </c>
      <c r="F13" s="18">
        <f>C13+F12</f>
        <v>-9025.963</v>
      </c>
      <c r="G13" s="18">
        <f>D13+G12</f>
        <v>-11104.358</v>
      </c>
      <c r="H13" s="21">
        <v>470</v>
      </c>
    </row>
    <row r="14" ht="20.05" customHeight="1">
      <c r="A14" s="30">
        <v>2013</v>
      </c>
      <c r="B14" s="17">
        <v>-69.253</v>
      </c>
      <c r="C14" s="18">
        <v>-2211.364</v>
      </c>
      <c r="D14" s="18">
        <f>B14+C14</f>
        <v>-2280.617</v>
      </c>
      <c r="E14" s="18">
        <f>B14+E13</f>
        <v>-2147.648</v>
      </c>
      <c r="F14" s="18">
        <f>C14+F13</f>
        <v>-11237.327</v>
      </c>
      <c r="G14" s="18">
        <f>D14+G13</f>
        <v>-13384.975</v>
      </c>
      <c r="H14" s="22"/>
    </row>
    <row r="15" ht="20.05" customHeight="1">
      <c r="A15" s="30">
        <v>2014</v>
      </c>
      <c r="B15" s="17">
        <v>-500.19</v>
      </c>
      <c r="C15" s="18">
        <v>-2426.542</v>
      </c>
      <c r="D15" s="18">
        <f>B15+C15</f>
        <v>-2926.732</v>
      </c>
      <c r="E15" s="18">
        <f>B15+E14</f>
        <v>-2647.838</v>
      </c>
      <c r="F15" s="18">
        <f>C15+F14</f>
        <v>-13663.869</v>
      </c>
      <c r="G15" s="18">
        <f>D15+G14</f>
        <v>-16311.707</v>
      </c>
      <c r="H15" s="21">
        <v>568</v>
      </c>
    </row>
    <row r="16" ht="20.05" customHeight="1">
      <c r="A16" s="30">
        <v>2015</v>
      </c>
      <c r="B16" s="17">
        <f>-2658.247-C16</f>
        <v>-421.952</v>
      </c>
      <c r="C16" s="18">
        <f>-2226.339-9.956</f>
        <v>-2236.295</v>
      </c>
      <c r="D16" s="18">
        <f>B16+C16</f>
        <v>-2658.247</v>
      </c>
      <c r="E16" s="18">
        <f>B16+E15</f>
        <v>-3069.79</v>
      </c>
      <c r="F16" s="18">
        <f>C16+F15</f>
        <v>-15900.164</v>
      </c>
      <c r="G16" s="18">
        <f>D16+G15</f>
        <v>-18969.954</v>
      </c>
      <c r="H16" s="22"/>
    </row>
    <row r="17" ht="20.05" customHeight="1">
      <c r="A17" s="30">
        <v>2016</v>
      </c>
      <c r="B17" s="17">
        <f>-780.378-C17</f>
        <v>1038.126</v>
      </c>
      <c r="C17" s="18">
        <f>-1808.588-9.916</f>
        <v>-1818.504</v>
      </c>
      <c r="D17" s="18">
        <f>B17+C17</f>
        <v>-780.378</v>
      </c>
      <c r="E17" s="18">
        <f>B17+E16</f>
        <v>-2031.664</v>
      </c>
      <c r="F17" s="18">
        <f>C17+F16</f>
        <v>-17718.668</v>
      </c>
      <c r="G17" s="18">
        <f>D17+G16</f>
        <v>-19750.332</v>
      </c>
      <c r="H17" s="21">
        <v>600</v>
      </c>
    </row>
    <row r="18" ht="20.05" customHeight="1">
      <c r="A18" s="30">
        <v>2017</v>
      </c>
      <c r="B18" s="17">
        <f>1533.416+92.719-C18</f>
        <v>3450.405</v>
      </c>
      <c r="C18" s="18">
        <f>-1808.638-15.632</f>
        <v>-1824.27</v>
      </c>
      <c r="D18" s="18">
        <f>B18+C18</f>
        <v>1626.135</v>
      </c>
      <c r="E18" s="18">
        <f>B18+E17</f>
        <v>1418.741</v>
      </c>
      <c r="F18" s="18">
        <f>C18+F17</f>
        <v>-19542.938</v>
      </c>
      <c r="G18" s="18">
        <f>D18+G17</f>
        <v>-18124.197</v>
      </c>
      <c r="H18" s="22"/>
    </row>
    <row r="19" ht="20.05" customHeight="1">
      <c r="A19" s="30">
        <v>2018</v>
      </c>
      <c r="B19" s="17">
        <f>-1064.937+174.708</f>
        <v>-890.229</v>
      </c>
      <c r="C19" s="18">
        <f>-805.678-21.432</f>
        <v>-827.11</v>
      </c>
      <c r="D19" s="18">
        <f>B19+C19</f>
        <v>-1717.339</v>
      </c>
      <c r="E19" s="18">
        <f>B19+E18</f>
        <v>528.5119999999999</v>
      </c>
      <c r="F19" s="18">
        <f>C19+F18</f>
        <v>-20370.048</v>
      </c>
      <c r="G19" s="18">
        <f>D19+G18</f>
        <v>-19841.536</v>
      </c>
      <c r="H19" s="21">
        <v>474</v>
      </c>
    </row>
    <row r="20" ht="20.05" customHeight="1">
      <c r="A20" s="30">
        <v>2019</v>
      </c>
      <c r="B20" s="17">
        <f>10285+338-C20</f>
        <v>11868</v>
      </c>
      <c r="C20" s="21">
        <v>-1245</v>
      </c>
      <c r="D20" s="18">
        <f>B20+C20</f>
        <v>10623</v>
      </c>
      <c r="E20" s="18">
        <f>B20+E19</f>
        <v>12396.512</v>
      </c>
      <c r="F20" s="18">
        <f>C20+F19</f>
        <v>-21615.048</v>
      </c>
      <c r="G20" s="18">
        <f>D20+G19</f>
        <v>-9218.536</v>
      </c>
      <c r="H20" s="22"/>
    </row>
    <row r="21" ht="20.05" customHeight="1">
      <c r="A21" s="30">
        <v>2020</v>
      </c>
      <c r="B21" s="17">
        <f>-6003+365-C21</f>
        <v>-5383.6</v>
      </c>
      <c r="C21" s="18">
        <f>-239.2-15.2</f>
        <v>-254.4</v>
      </c>
      <c r="D21" s="18">
        <f>B21+C21</f>
        <v>-5638</v>
      </c>
      <c r="E21" s="18">
        <f>B21+E20</f>
        <v>7012.912</v>
      </c>
      <c r="F21" s="18">
        <f>C21+F20</f>
        <v>-21869.448</v>
      </c>
      <c r="G21" s="18">
        <f>D21+G20</f>
        <v>-14856.536</v>
      </c>
      <c r="H21" s="21">
        <v>424</v>
      </c>
    </row>
    <row r="22" ht="20.05" customHeight="1">
      <c r="A22" s="30">
        <v>2021</v>
      </c>
      <c r="B22" s="17">
        <f>-3670.53+406.54-C22</f>
        <v>-2131.39</v>
      </c>
      <c r="C22" s="21">
        <f>-1117-15.6</f>
        <v>-1132.6</v>
      </c>
      <c r="D22" s="18">
        <f>B22+C22</f>
        <v>-3263.99</v>
      </c>
      <c r="E22" s="18">
        <f>B22+E21</f>
        <v>4881.522</v>
      </c>
      <c r="F22" s="18">
        <f>C22+F21</f>
        <v>-23002.048</v>
      </c>
      <c r="G22" s="18">
        <f>D22+G21</f>
        <v>-18120.526</v>
      </c>
      <c r="H22" s="22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