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  <sheet name="Capital " sheetId="6" r:id="rId9"/>
  </sheets>
</workbook>
</file>

<file path=xl/sharedStrings.xml><?xml version="1.0" encoding="utf-8"?>
<sst xmlns="http://schemas.openxmlformats.org/spreadsheetml/2006/main" uniqueCount="89">
  <si>
    <t>Financial model</t>
  </si>
  <si>
    <t>Rp bn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</si>
  <si>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</si>
  <si>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</si>
  <si>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</si>
  <si>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</si>
  <si>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</si>
  <si>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</si>
  <si>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</si>
  <si>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</si>
  <si>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 xml:space="preserve">Leases 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</si>
  <si>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</si>
  <si>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</si>
  <si>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</si>
  <si>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</si>
  <si>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</si>
  <si>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</si>
  <si>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</si>
  <si>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</si>
  <si>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</si>
  <si>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</si>
  <si>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</si>
  <si>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</si>
  <si>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</si>
  <si>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</si>
  <si>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</si>
  <si>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</si>
  <si>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</si>
  <si>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</si>
  <si>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</si>
  <si>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</si>
  <si>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</si>
  <si>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</si>
  <si>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>Cashflow</t>
  </si>
  <si>
    <t>Payback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</si>
  <si>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</si>
  <si>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</si>
  <si>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</si>
  <si>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</si>
  <si>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</si>
  <si>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>V target</t>
  </si>
  <si>
    <t xml:space="preserve">12 month growth </t>
  </si>
  <si>
    <t xml:space="preserve">Sales v forecast </t>
  </si>
  <si>
    <t>Rpbn</t>
  </si>
  <si>
    <t>Non cash costs</t>
  </si>
  <si>
    <t>Forex loss (gain)</t>
  </si>
  <si>
    <t>Profit</t>
  </si>
  <si>
    <t xml:space="preserve">Sales growth </t>
  </si>
  <si>
    <t>Receipts</t>
  </si>
  <si>
    <t>Leases</t>
  </si>
  <si>
    <t xml:space="preserve">Free cashflow </t>
  </si>
  <si>
    <t>Forecast</t>
  </si>
  <si>
    <t>Cash</t>
  </si>
  <si>
    <t>Assets</t>
  </si>
  <si>
    <t>Check</t>
  </si>
  <si>
    <t>Share price</t>
  </si>
  <si>
    <t>SMCB</t>
  </si>
  <si>
    <t>Target</t>
  </si>
  <si>
    <t>Capital</t>
  </si>
  <si>
    <t xml:space="preserve">Total </t>
  </si>
  <si>
    <t>Table 1</t>
  </si>
  <si>
    <t xml:space="preserve">capital history </t>
  </si>
  <si>
    <t xml:space="preserve">Start date </t>
  </si>
  <si>
    <t xml:space="preserve">Number of quarters </t>
  </si>
  <si>
    <t xml:space="preserve">billion rupiah </t>
  </si>
  <si>
    <t>paid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</si>
  <si>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</si>
  <si>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</si>
  <si>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</si>
  <si>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</si>
  <si>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</si>
  <si>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</si>
  <si>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</si>
  <si>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</si>
  <si>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</si>
  <si>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</si>
  <si>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</si>
  <si>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</si>
  <si>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</si>
  <si>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</si>
  <si>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>raised</t>
  </si>
  <si>
    <t xml:space="preserve">equity </t>
  </si>
  <si>
    <t>was</t>
  </si>
  <si>
    <t xml:space="preserve">The peak in cumulative equity </t>
  </si>
  <si>
    <t>is</t>
  </si>
  <si>
    <t>up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</si>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</sst>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"/>
    <numFmt numFmtId="60" formatCode="#,##0%"/>
    <numFmt numFmtId="61" formatCode="mmmm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14"/>
      <name val="Helvetica Neue"/>
    </font>
    <font>
      <b val="1"/>
      <sz val="25"/>
      <color indexed="8"/>
      <name val="Helvetica Neue"/>
    </font>
    <font>
      <b val="1"/>
      <sz val="25"/>
      <color indexed="1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3" borderId="3" applyNumberFormat="1" applyFont="1" applyFill="0" applyBorder="1" applyAlignment="1" applyProtection="0">
      <alignment horizontal="right" vertical="center" wrapText="1" readingOrder="1"/>
    </xf>
    <xf numFmtId="1" fontId="3" borderId="6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4" borderId="7" applyNumberFormat="0" applyFont="1" applyFill="0" applyBorder="1" applyAlignment="1" applyProtection="0">
      <alignment horizontal="right" vertical="top" wrapText="1"/>
    </xf>
    <xf numFmtId="3" fontId="4" borderId="7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  <rgbColor rgb="ffb8b8b8"/>
      <rgbColor rgb="fffefffe"/>
      <rgbColor rgb="ff919191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1758"/>
          <c:y val="0.0446026"/>
          <c:w val="0.817804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'!$A$3:$A$15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'Capital '!$E$3:$E$15</c:f>
              <c:numCache>
                <c:ptCount val="13"/>
                <c:pt idx="0">
                  <c:v>-1584.000000</c:v>
                </c:pt>
                <c:pt idx="1">
                  <c:v>-1699.000000</c:v>
                </c:pt>
                <c:pt idx="2">
                  <c:v>-2423.000000</c:v>
                </c:pt>
                <c:pt idx="3">
                  <c:v>-2248.000000</c:v>
                </c:pt>
                <c:pt idx="4">
                  <c:v>-937.000000</c:v>
                </c:pt>
                <c:pt idx="5">
                  <c:v>740.000000</c:v>
                </c:pt>
                <c:pt idx="6">
                  <c:v>1442.000000</c:v>
                </c:pt>
                <c:pt idx="7">
                  <c:v>2682.000000</c:v>
                </c:pt>
                <c:pt idx="8">
                  <c:v>2410.000000</c:v>
                </c:pt>
                <c:pt idx="9">
                  <c:v>2248.000000</c:v>
                </c:pt>
                <c:pt idx="10">
                  <c:v>2624.000000</c:v>
                </c:pt>
                <c:pt idx="11">
                  <c:v>2276.000000</c:v>
                </c:pt>
                <c:pt idx="12">
                  <c:v>-1724.000000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'!$A$3:$A$15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'Capital '!$F$3:$F$15</c:f>
              <c:numCache>
                <c:ptCount val="13"/>
                <c:pt idx="0">
                  <c:v>0.000000</c:v>
                </c:pt>
                <c:pt idx="1">
                  <c:v>0.000000</c:v>
                </c:pt>
                <c:pt idx="2">
                  <c:v>-354.000000</c:v>
                </c:pt>
                <c:pt idx="3">
                  <c:v>-845.000000</c:v>
                </c:pt>
                <c:pt idx="4">
                  <c:v>-1496.000000</c:v>
                </c:pt>
                <c:pt idx="5">
                  <c:v>-2163.000000</c:v>
                </c:pt>
                <c:pt idx="6">
                  <c:v>-2400.000000</c:v>
                </c:pt>
                <c:pt idx="7">
                  <c:v>-2502.000000</c:v>
                </c:pt>
                <c:pt idx="8">
                  <c:v>-2502.000000</c:v>
                </c:pt>
                <c:pt idx="9">
                  <c:v>-2502.000000</c:v>
                </c:pt>
                <c:pt idx="10">
                  <c:v>-2502.000000</c:v>
                </c:pt>
                <c:pt idx="11">
                  <c:v>-2530.000000</c:v>
                </c:pt>
                <c:pt idx="12">
                  <c:v>380.500000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929292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929292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'!$A$3:$A$15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'Capital '!$G$3:$G$15</c:f>
              <c:numCache>
                <c:ptCount val="13"/>
                <c:pt idx="0">
                  <c:v>-1584.000000</c:v>
                </c:pt>
                <c:pt idx="1">
                  <c:v>-1699.000000</c:v>
                </c:pt>
                <c:pt idx="2">
                  <c:v>-2777.000000</c:v>
                </c:pt>
                <c:pt idx="3">
                  <c:v>-3093.000000</c:v>
                </c:pt>
                <c:pt idx="4">
                  <c:v>-2433.000000</c:v>
                </c:pt>
                <c:pt idx="5">
                  <c:v>-1423.000000</c:v>
                </c:pt>
                <c:pt idx="6">
                  <c:v>-958.000000</c:v>
                </c:pt>
                <c:pt idx="7">
                  <c:v>180.000000</c:v>
                </c:pt>
                <c:pt idx="8">
                  <c:v>-92.000000</c:v>
                </c:pt>
                <c:pt idx="9">
                  <c:v>-254.000000</c:v>
                </c:pt>
                <c:pt idx="10">
                  <c:v>122.000000</c:v>
                </c:pt>
                <c:pt idx="11">
                  <c:v>-254.000000</c:v>
                </c:pt>
                <c:pt idx="12">
                  <c:v>-1343.500000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750"/>
        <c:minorUnit val="87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902282"/>
          <c:y val="0.0374562"/>
          <c:w val="0.358367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537766</xdr:colOff>
      <xdr:row>2</xdr:row>
      <xdr:rowOff>93581</xdr:rowOff>
    </xdr:from>
    <xdr:to>
      <xdr:col>14</xdr:col>
      <xdr:colOff>36298</xdr:colOff>
      <xdr:row>50</xdr:row>
      <xdr:rowOff>126875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39866" y="597136"/>
          <a:ext cx="9455333" cy="12258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419536</xdr:colOff>
      <xdr:row>21</xdr:row>
      <xdr:rowOff>15776</xdr:rowOff>
    </xdr:from>
    <xdr:to>
      <xdr:col>4</xdr:col>
      <xdr:colOff>792345</xdr:colOff>
      <xdr:row>29</xdr:row>
      <xdr:rowOff>249011</xdr:rowOff>
    </xdr:to>
    <xdr:graphicFrame>
      <xdr:nvGraphicFramePr>
        <xdr:cNvPr id="4" name="2D Line Chart"/>
        <xdr:cNvGraphicFramePr/>
      </xdr:nvGraphicFramePr>
      <xdr:xfrm>
        <a:off x="419536" y="5716806"/>
        <a:ext cx="3649410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184221</xdr:colOff>
      <xdr:row>18</xdr:row>
      <xdr:rowOff>22014</xdr:rowOff>
    </xdr:from>
    <xdr:to>
      <xdr:col>5</xdr:col>
      <xdr:colOff>202160</xdr:colOff>
      <xdr:row>21</xdr:row>
      <xdr:rowOff>85721</xdr:rowOff>
    </xdr:to>
    <xdr:sp>
      <xdr:nvSpPr>
        <xdr:cNvPr id="5" name="SMCB BACK TO WHERE THEY WERE IN 2009…"/>
        <xdr:cNvSpPr txBox="1"/>
      </xdr:nvSpPr>
      <xdr:spPr>
        <a:xfrm>
          <a:off x="184221" y="4804199"/>
          <a:ext cx="4120040" cy="98255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SMCB BACK TO WHERE THEY WERE IN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2009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4.7656" style="1" customWidth="1"/>
    <col min="3" max="6" width="9.38281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AVERAGE('Sales'!H24:H27)</f>
        <v>0.0370436497224797</v>
      </c>
      <c r="D4" s="8"/>
      <c r="E4" s="8"/>
      <c r="F4" s="9">
        <f>AVERAGE(C5:F5)</f>
        <v>0.0425</v>
      </c>
    </row>
    <row r="5" ht="20.05" customHeight="1">
      <c r="B5" t="s" s="10">
        <v>4</v>
      </c>
      <c r="C5" s="11">
        <v>0.01</v>
      </c>
      <c r="D5" s="12">
        <v>0.17</v>
      </c>
      <c r="E5" s="12">
        <v>0.06</v>
      </c>
      <c r="F5" s="12">
        <v>-0.07000000000000001</v>
      </c>
    </row>
    <row r="6" ht="20.05" customHeight="1">
      <c r="B6" t="s" s="10">
        <v>5</v>
      </c>
      <c r="C6" s="13">
        <f>'Sales'!C27*(1+C5)</f>
        <v>2933.747</v>
      </c>
      <c r="D6" s="14">
        <f>C6*(1+D5)</f>
        <v>3432.48399</v>
      </c>
      <c r="E6" s="14">
        <f>D6*(1+E5)</f>
        <v>3638.4330294</v>
      </c>
      <c r="F6" s="14">
        <f>E6*(1+F5)</f>
        <v>3383.742717342</v>
      </c>
    </row>
    <row r="7" ht="20.05" customHeight="1">
      <c r="B7" t="s" s="10">
        <v>6</v>
      </c>
      <c r="C7" s="11">
        <f>AVERAGE('Sales'!J27)</f>
        <v>-0.863119308048848</v>
      </c>
      <c r="D7" s="12">
        <f>C7</f>
        <v>-0.863119308048848</v>
      </c>
      <c r="E7" s="12">
        <f>D7</f>
        <v>-0.863119308048848</v>
      </c>
      <c r="F7" s="12">
        <f>E7</f>
        <v>-0.863119308048848</v>
      </c>
    </row>
    <row r="8" ht="20.05" customHeight="1">
      <c r="B8" t="s" s="10">
        <v>7</v>
      </c>
      <c r="C8" s="15">
        <f>C6*C7</f>
        <v>-2532.173680630380</v>
      </c>
      <c r="D8" s="16">
        <f>D6*D7</f>
        <v>-2962.643206337550</v>
      </c>
      <c r="E8" s="16">
        <f>E6*E7</f>
        <v>-3140.4017987178</v>
      </c>
      <c r="F8" s="16">
        <f>F6*F7</f>
        <v>-2920.573672807560</v>
      </c>
    </row>
    <row r="9" ht="20.05" customHeight="1">
      <c r="B9" t="s" s="10">
        <v>8</v>
      </c>
      <c r="C9" s="15">
        <f>C6+C8</f>
        <v>401.573319369620</v>
      </c>
      <c r="D9" s="16">
        <f>D6+D8</f>
        <v>469.840783662450</v>
      </c>
      <c r="E9" s="16">
        <f>E6+E8</f>
        <v>498.0312306822</v>
      </c>
      <c r="F9" s="16">
        <f>F6+F8</f>
        <v>463.169044534440</v>
      </c>
    </row>
    <row r="10" ht="20.05" customHeight="1">
      <c r="B10" t="s" s="10">
        <v>9</v>
      </c>
      <c r="C10" s="15">
        <f>AVERAGE('Cashflow '!E28)</f>
        <v>-109.5</v>
      </c>
      <c r="D10" s="16">
        <f>C10</f>
        <v>-109.5</v>
      </c>
      <c r="E10" s="16">
        <f>D10</f>
        <v>-109.5</v>
      </c>
      <c r="F10" s="16">
        <f>E10</f>
        <v>-109.5</v>
      </c>
    </row>
    <row r="11" ht="20.05" customHeight="1">
      <c r="B11" t="s" s="10">
        <v>10</v>
      </c>
      <c r="C11" s="15">
        <f>'Cashflow '!F28</f>
        <v>-56</v>
      </c>
      <c r="D11" s="16">
        <f>C11</f>
        <v>-56</v>
      </c>
      <c r="E11" s="16">
        <f>D11</f>
        <v>-56</v>
      </c>
      <c r="F11" s="16">
        <f>E11</f>
        <v>-56</v>
      </c>
    </row>
    <row r="12" ht="20.05" customHeight="1">
      <c r="B12" t="s" s="10">
        <v>11</v>
      </c>
      <c r="C12" s="15">
        <f>C13+C16+C14</f>
        <v>-236.073319369620</v>
      </c>
      <c r="D12" s="16">
        <f>D13+D16+D14</f>
        <v>-304.340783662450</v>
      </c>
      <c r="E12" s="16">
        <f>E13+E16+E14</f>
        <v>-332.5312306822</v>
      </c>
      <c r="F12" s="16">
        <f>F13+F16+F14</f>
        <v>-297.669044534440</v>
      </c>
    </row>
    <row r="13" ht="20.05" customHeight="1">
      <c r="B13" t="s" s="10">
        <v>12</v>
      </c>
      <c r="C13" s="15">
        <f>-'Balance sheet'!G28/20</f>
        <v>-534.45</v>
      </c>
      <c r="D13" s="16">
        <f>-C28/20</f>
        <v>-504.9275</v>
      </c>
      <c r="E13" s="16">
        <f>-D28/20</f>
        <v>-476.881125</v>
      </c>
      <c r="F13" s="16">
        <f>-E28/20</f>
        <v>-450.23706875</v>
      </c>
    </row>
    <row r="14" ht="20.05" customHeight="1">
      <c r="B14" t="s" s="10">
        <v>13</v>
      </c>
      <c r="C14" s="15">
        <f>-MIN(0,C17)</f>
        <v>337.091344504304</v>
      </c>
      <c r="D14" s="16">
        <f>-MIN(C29,D17)</f>
        <v>252.954873070040</v>
      </c>
      <c r="E14" s="16">
        <f>-MIN(D29,E17)</f>
        <v>202.356140454240</v>
      </c>
      <c r="F14" s="16">
        <f>-MIN(E29,F17)</f>
        <v>203.601833122448</v>
      </c>
    </row>
    <row r="15" ht="20.05" customHeight="1">
      <c r="B15" t="s" s="10">
        <v>14</v>
      </c>
      <c r="C15" s="17">
        <v>0.2</v>
      </c>
      <c r="D15" s="16"/>
      <c r="E15" s="16"/>
      <c r="F15" s="16"/>
    </row>
    <row r="16" ht="20.05" customHeight="1">
      <c r="B16" t="s" s="10">
        <v>15</v>
      </c>
      <c r="C16" s="15">
        <f>IF(C23&gt;0,-C23*$C$15,0)</f>
        <v>-38.714663873924</v>
      </c>
      <c r="D16" s="16">
        <f>IF(D23&gt;0,-D23*$C$15,0)</f>
        <v>-52.368156732490</v>
      </c>
      <c r="E16" s="16">
        <f>IF(E23&gt;0,-E23*$C$15,0)</f>
        <v>-58.006246136440</v>
      </c>
      <c r="F16" s="16">
        <f>IF(F23&gt;0,-F23*$C$15,0)</f>
        <v>-51.033808906888</v>
      </c>
    </row>
    <row r="17" ht="20.05" customHeight="1">
      <c r="B17" t="s" s="10">
        <v>16</v>
      </c>
      <c r="C17" s="15">
        <f>C9+C10+C11+C13+C16</f>
        <v>-337.091344504304</v>
      </c>
      <c r="D17" s="16">
        <f>D9+D10+D11+D13+D16</f>
        <v>-252.954873070040</v>
      </c>
      <c r="E17" s="16">
        <f>E9+E10+E11+E13+E16</f>
        <v>-202.356140454240</v>
      </c>
      <c r="F17" s="16">
        <f>F9+F10+F11+F13+F16</f>
        <v>-203.601833122448</v>
      </c>
    </row>
    <row r="18" ht="20.05" customHeight="1">
      <c r="B18" t="s" s="10">
        <v>17</v>
      </c>
      <c r="C18" s="15">
        <f>'Balance sheet'!C28</f>
        <v>259</v>
      </c>
      <c r="D18" s="16">
        <f>C20</f>
        <v>259</v>
      </c>
      <c r="E18" s="16">
        <f>D20</f>
        <v>259</v>
      </c>
      <c r="F18" s="16">
        <f>E20</f>
        <v>259</v>
      </c>
    </row>
    <row r="19" ht="20.05" customHeight="1">
      <c r="B19" t="s" s="10">
        <v>18</v>
      </c>
      <c r="C19" s="15">
        <f>C9+C10+C11+C12</f>
        <v>0</v>
      </c>
      <c r="D19" s="16">
        <f>D9+D10+D11+D12</f>
        <v>0</v>
      </c>
      <c r="E19" s="16">
        <f>E9+E10+E11+E12</f>
        <v>0</v>
      </c>
      <c r="F19" s="16">
        <f>F9+F10+F11+F12</f>
        <v>0</v>
      </c>
    </row>
    <row r="20" ht="20.05" customHeight="1">
      <c r="B20" t="s" s="10">
        <v>19</v>
      </c>
      <c r="C20" s="15">
        <f>C18+C19</f>
        <v>259</v>
      </c>
      <c r="D20" s="16">
        <f>D18+D19</f>
        <v>259</v>
      </c>
      <c r="E20" s="16">
        <f>E18+E19</f>
        <v>259</v>
      </c>
      <c r="F20" s="16">
        <f>F18+F19</f>
        <v>259</v>
      </c>
    </row>
    <row r="21" ht="20.05" customHeight="1">
      <c r="B21" t="s" s="18">
        <v>20</v>
      </c>
      <c r="C21" s="15"/>
      <c r="D21" s="16"/>
      <c r="E21" s="16"/>
      <c r="F21" s="19"/>
    </row>
    <row r="22" ht="20.05" customHeight="1">
      <c r="B22" t="s" s="10">
        <v>21</v>
      </c>
      <c r="C22" s="15">
        <f>-'Sales'!E27</f>
        <v>-208</v>
      </c>
      <c r="D22" s="16">
        <f>C22</f>
        <v>-208</v>
      </c>
      <c r="E22" s="16">
        <f>D22</f>
        <v>-208</v>
      </c>
      <c r="F22" s="16">
        <f>E22</f>
        <v>-208</v>
      </c>
    </row>
    <row r="23" ht="20.05" customHeight="1">
      <c r="B23" t="s" s="10">
        <v>20</v>
      </c>
      <c r="C23" s="15">
        <f>C6+C8+C22</f>
        <v>193.573319369620</v>
      </c>
      <c r="D23" s="16">
        <f>D6+D8+D22</f>
        <v>261.840783662450</v>
      </c>
      <c r="E23" s="16">
        <f>E6+E8+E22</f>
        <v>290.0312306822</v>
      </c>
      <c r="F23" s="16">
        <f>F6+F8+F22</f>
        <v>255.169044534440</v>
      </c>
    </row>
    <row r="24" ht="20.05" customHeight="1">
      <c r="B24" t="s" s="18">
        <v>22</v>
      </c>
      <c r="C24" s="15"/>
      <c r="D24" s="16"/>
      <c r="E24" s="16"/>
      <c r="F24" s="16"/>
    </row>
    <row r="25" ht="20.05" customHeight="1">
      <c r="B25" t="s" s="10">
        <v>23</v>
      </c>
      <c r="C25" s="15">
        <f>'Balance sheet'!E28+'Balance sheet'!F28-C10</f>
        <v>35407.5</v>
      </c>
      <c r="D25" s="16">
        <f>C25-D10</f>
        <v>35517</v>
      </c>
      <c r="E25" s="16">
        <f>D25-E10</f>
        <v>35626.5</v>
      </c>
      <c r="F25" s="16">
        <f>E25-F10</f>
        <v>35736</v>
      </c>
    </row>
    <row r="26" ht="20.05" customHeight="1">
      <c r="B26" t="s" s="10">
        <v>24</v>
      </c>
      <c r="C26" s="15">
        <f>'Balance sheet'!F28-C22</f>
        <v>13697</v>
      </c>
      <c r="D26" s="16">
        <f>C26-D22</f>
        <v>13905</v>
      </c>
      <c r="E26" s="16">
        <f>D26-E22</f>
        <v>14113</v>
      </c>
      <c r="F26" s="16">
        <f>E26-F22</f>
        <v>14321</v>
      </c>
    </row>
    <row r="27" ht="20.05" customHeight="1">
      <c r="B27" t="s" s="10">
        <v>25</v>
      </c>
      <c r="C27" s="15">
        <f>C25-C26</f>
        <v>21710.5</v>
      </c>
      <c r="D27" s="16">
        <f>D25-D26</f>
        <v>21612</v>
      </c>
      <c r="E27" s="16">
        <f>E25-E26</f>
        <v>21513.5</v>
      </c>
      <c r="F27" s="16">
        <f>F25-F26</f>
        <v>21415</v>
      </c>
    </row>
    <row r="28" ht="20.05" customHeight="1">
      <c r="B28" t="s" s="10">
        <v>12</v>
      </c>
      <c r="C28" s="15">
        <f>'Balance sheet'!G28+C13+C11</f>
        <v>10098.55</v>
      </c>
      <c r="D28" s="16">
        <f>C28+D13+D11</f>
        <v>9537.622499999999</v>
      </c>
      <c r="E28" s="16">
        <f>D28+E13+E11</f>
        <v>9004.741375</v>
      </c>
      <c r="F28" s="16">
        <f>E28+F13+F11</f>
        <v>8498.504306250001</v>
      </c>
    </row>
    <row r="29" ht="20.05" customHeight="1">
      <c r="B29" t="s" s="10">
        <v>13</v>
      </c>
      <c r="C29" s="15">
        <f>C14</f>
        <v>337.091344504304</v>
      </c>
      <c r="D29" s="16">
        <f>C29+D14</f>
        <v>590.046217574344</v>
      </c>
      <c r="E29" s="16">
        <f>D29+E14</f>
        <v>792.402358028584</v>
      </c>
      <c r="F29" s="16">
        <f>E29+F14</f>
        <v>996.004191151032</v>
      </c>
    </row>
    <row r="30" ht="20.05" customHeight="1">
      <c r="B30" t="s" s="10">
        <v>15</v>
      </c>
      <c r="C30" s="15">
        <f>'Balance sheet'!H28+C23+C16</f>
        <v>11533.8586554957</v>
      </c>
      <c r="D30" s="16">
        <f>C30+D23+D16</f>
        <v>11743.3312824257</v>
      </c>
      <c r="E30" s="16">
        <f>D30+E23+E16</f>
        <v>11975.3562669715</v>
      </c>
      <c r="F30" s="16">
        <f>E30+F23+F16</f>
        <v>12179.4915025991</v>
      </c>
    </row>
    <row r="31" ht="20.05" customHeight="1">
      <c r="B31" t="s" s="10">
        <v>26</v>
      </c>
      <c r="C31" s="15">
        <f>C28+C29+C30-C20-C27</f>
        <v>4e-12</v>
      </c>
      <c r="D31" s="16">
        <f>D28+D29+D30-D20-D27</f>
        <v>4.4e-11</v>
      </c>
      <c r="E31" s="16">
        <f>E28+E29+E30-E20-E27</f>
        <v>8.399999999999999e-11</v>
      </c>
      <c r="F31" s="16">
        <f>F28+F29+F30-F20-F27</f>
        <v>1.32e-10</v>
      </c>
    </row>
    <row r="32" ht="20.05" customHeight="1">
      <c r="B32" t="s" s="10">
        <v>27</v>
      </c>
      <c r="C32" s="15">
        <f>C20-C28-C29</f>
        <v>-10176.6413445043</v>
      </c>
      <c r="D32" s="16">
        <f>D20-D28-D29</f>
        <v>-9868.668717574339</v>
      </c>
      <c r="E32" s="16">
        <f>E20-E28-E29</f>
        <v>-9538.143733028581</v>
      </c>
      <c r="F32" s="16">
        <f>F20-F28-F29</f>
        <v>-9235.508497401030</v>
      </c>
    </row>
    <row r="33" ht="20.05" customHeight="1">
      <c r="B33" t="s" s="18">
        <v>28</v>
      </c>
      <c r="C33" s="15"/>
      <c r="D33" s="16"/>
      <c r="E33" s="16"/>
      <c r="F33" s="16"/>
    </row>
    <row r="34" ht="20.05" customHeight="1">
      <c r="B34" t="s" s="10">
        <v>29</v>
      </c>
      <c r="C34" s="15">
        <f>'Cashflow '!M28-C12</f>
        <v>806.173319369620</v>
      </c>
      <c r="D34" s="16">
        <f>C34-D12</f>
        <v>1110.514103032070</v>
      </c>
      <c r="E34" s="16">
        <f>D34-E12</f>
        <v>1443.045333714270</v>
      </c>
      <c r="F34" s="16">
        <f>E34-F12</f>
        <v>1740.714378248710</v>
      </c>
    </row>
    <row r="35" ht="20.05" customHeight="1">
      <c r="B35" t="s" s="10">
        <v>30</v>
      </c>
      <c r="C35" s="15"/>
      <c r="D35" s="16"/>
      <c r="E35" s="16"/>
      <c r="F35" s="16">
        <v>14250619699200</v>
      </c>
    </row>
    <row r="36" ht="20.05" customHeight="1">
      <c r="B36" t="s" s="10">
        <v>30</v>
      </c>
      <c r="C36" s="15"/>
      <c r="D36" s="16"/>
      <c r="E36" s="16"/>
      <c r="F36" s="16">
        <f>F35/1000000000</f>
        <v>14250.6196992</v>
      </c>
    </row>
    <row r="37" ht="20.05" customHeight="1">
      <c r="B37" t="s" s="10">
        <v>31</v>
      </c>
      <c r="C37" s="15"/>
      <c r="D37" s="16"/>
      <c r="E37" s="16"/>
      <c r="F37" s="20">
        <f>F36/(F20+F27)</f>
        <v>0.657498371283566</v>
      </c>
    </row>
    <row r="38" ht="20.05" customHeight="1">
      <c r="B38" t="s" s="10">
        <v>32</v>
      </c>
      <c r="C38" s="15"/>
      <c r="D38" s="16"/>
      <c r="E38" s="16"/>
      <c r="F38" s="21">
        <f>-(C16+D16+E16+F16)/F36</f>
        <v>0.0140430998703149</v>
      </c>
    </row>
    <row r="39" ht="20.05" customHeight="1">
      <c r="B39" t="s" s="10">
        <v>33</v>
      </c>
      <c r="C39" s="15"/>
      <c r="D39" s="16"/>
      <c r="E39" s="16"/>
      <c r="F39" s="16">
        <f>SUM(C9:F11)</f>
        <v>1170.614378248710</v>
      </c>
    </row>
    <row r="40" ht="20.05" customHeight="1">
      <c r="B40" t="s" s="10">
        <v>34</v>
      </c>
      <c r="C40" s="15"/>
      <c r="D40" s="16"/>
      <c r="E40" s="16"/>
      <c r="F40" s="16">
        <f>'Balance sheet'!E28/F39</f>
        <v>18.6303879443436</v>
      </c>
    </row>
    <row r="41" ht="20.05" customHeight="1">
      <c r="B41" t="s" s="10">
        <v>28</v>
      </c>
      <c r="C41" s="15"/>
      <c r="D41" s="16"/>
      <c r="E41" s="16"/>
      <c r="F41" s="16">
        <f>F36/F39</f>
        <v>12.1736243497364</v>
      </c>
    </row>
    <row r="42" ht="20.05" customHeight="1">
      <c r="B42" t="s" s="10">
        <v>35</v>
      </c>
      <c r="C42" s="15"/>
      <c r="D42" s="16"/>
      <c r="E42" s="16"/>
      <c r="F42" s="16">
        <v>16</v>
      </c>
    </row>
    <row r="43" ht="20.05" customHeight="1">
      <c r="B43" t="s" s="10">
        <v>36</v>
      </c>
      <c r="C43" s="15"/>
      <c r="D43" s="16"/>
      <c r="E43" s="16"/>
      <c r="F43" s="16">
        <f>F39*F42</f>
        <v>18729.8300519794</v>
      </c>
    </row>
    <row r="44" ht="20.05" customHeight="1">
      <c r="B44" t="s" s="10">
        <v>37</v>
      </c>
      <c r="C44" s="15"/>
      <c r="D44" s="16"/>
      <c r="E44" s="16"/>
      <c r="F44" s="16">
        <f>F36/F46</f>
        <v>9.0193795564557</v>
      </c>
    </row>
    <row r="45" ht="20.05" customHeight="1">
      <c r="B45" t="s" s="10">
        <v>38</v>
      </c>
      <c r="C45" s="15"/>
      <c r="D45" s="16"/>
      <c r="E45" s="16"/>
      <c r="F45" s="16">
        <f>F43/F44</f>
        <v>2076.620673821560</v>
      </c>
    </row>
    <row r="46" ht="20.05" customHeight="1">
      <c r="B46" t="s" s="10">
        <v>39</v>
      </c>
      <c r="C46" s="15"/>
      <c r="D46" s="16"/>
      <c r="E46" s="16"/>
      <c r="F46" s="16">
        <v>1580</v>
      </c>
    </row>
    <row r="47" ht="20.05" customHeight="1">
      <c r="B47" t="s" s="10">
        <v>40</v>
      </c>
      <c r="C47" s="15"/>
      <c r="D47" s="16"/>
      <c r="E47" s="16"/>
      <c r="F47" s="21">
        <f>F45/F46-1</f>
        <v>0.314316882165544</v>
      </c>
    </row>
    <row r="48" ht="20.05" customHeight="1">
      <c r="B48" t="s" s="10">
        <v>41</v>
      </c>
      <c r="C48" s="15"/>
      <c r="D48" s="16"/>
      <c r="E48" s="16"/>
      <c r="F48" s="21">
        <f>'Sales'!C27/'Sales'!C23-1</f>
        <v>0.133674186246195</v>
      </c>
    </row>
    <row r="49" ht="20.05" customHeight="1">
      <c r="B49" t="s" s="10">
        <v>42</v>
      </c>
      <c r="C49" s="15"/>
      <c r="D49" s="16"/>
      <c r="E49" s="16"/>
      <c r="F49" s="21">
        <f>'Sales'!F30/'Sales'!E30-1</f>
        <v>-0.0274744280565606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3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2" customWidth="1"/>
    <col min="2" max="11" width="10.9688" style="22" customWidth="1"/>
    <col min="12" max="16384" width="16.3516" style="22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5">
        <v>43</v>
      </c>
      <c r="C2" t="s" s="5">
        <v>5</v>
      </c>
      <c r="D2" t="s" s="5">
        <v>35</v>
      </c>
      <c r="E2" t="s" s="5">
        <v>44</v>
      </c>
      <c r="F2" t="s" s="5">
        <v>45</v>
      </c>
      <c r="G2" t="s" s="5">
        <v>46</v>
      </c>
      <c r="H2" t="s" s="5">
        <v>47</v>
      </c>
      <c r="I2" t="s" s="5">
        <v>6</v>
      </c>
      <c r="J2" t="s" s="5">
        <v>6</v>
      </c>
      <c r="K2" t="s" s="5">
        <v>35</v>
      </c>
    </row>
    <row r="3" ht="20.25" customHeight="1">
      <c r="B3" s="23">
        <v>2016</v>
      </c>
      <c r="C3" s="24">
        <v>2455.7</v>
      </c>
      <c r="D3" s="25"/>
      <c r="E3" s="25">
        <v>264.8</v>
      </c>
      <c r="F3" s="25">
        <v>20.125</v>
      </c>
      <c r="G3" s="25">
        <v>66.98</v>
      </c>
      <c r="H3" s="9"/>
      <c r="I3" s="9">
        <f>(E3+G3+F3-C3)/C3</f>
        <v>-0.85669870098139</v>
      </c>
      <c r="J3" s="9"/>
      <c r="K3" s="9"/>
    </row>
    <row r="4" ht="20.05" customHeight="1">
      <c r="B4" s="26"/>
      <c r="C4" s="15">
        <v>2314.49</v>
      </c>
      <c r="D4" s="16"/>
      <c r="E4" s="16">
        <v>294</v>
      </c>
      <c r="F4" s="16">
        <v>-3.225</v>
      </c>
      <c r="G4" s="16">
        <v>-118.38</v>
      </c>
      <c r="H4" s="12">
        <f>C4/C3-1</f>
        <v>-0.0575029523150222</v>
      </c>
      <c r="I4" s="12">
        <f>(E4+G4+F4-C4)/C4</f>
        <v>-0.9255149082519259</v>
      </c>
      <c r="J4" s="12"/>
      <c r="K4" s="12"/>
    </row>
    <row r="5" ht="20.05" customHeight="1">
      <c r="B5" s="26"/>
      <c r="C5" s="15">
        <v>2136.2</v>
      </c>
      <c r="D5" s="16"/>
      <c r="E5" s="16">
        <v>305.6</v>
      </c>
      <c r="F5" s="16">
        <v>-2.67</v>
      </c>
      <c r="G5" s="16">
        <v>-108.5</v>
      </c>
      <c r="H5" s="12">
        <f>C5/C4-1</f>
        <v>-0.07703208914274851</v>
      </c>
      <c r="I5" s="12">
        <f>(E5+G5+F5-C5)/C5</f>
        <v>-0.908983241269544</v>
      </c>
      <c r="J5" s="12"/>
      <c r="K5" s="12"/>
    </row>
    <row r="6" ht="20.05" customHeight="1">
      <c r="B6" s="26"/>
      <c r="C6" s="15">
        <v>2552.01</v>
      </c>
      <c r="D6" s="16"/>
      <c r="E6" s="16">
        <v>281.3</v>
      </c>
      <c r="F6" s="16">
        <v>-50.13</v>
      </c>
      <c r="G6" s="16">
        <v>-124.6</v>
      </c>
      <c r="H6" s="12">
        <f>C6/C5-1</f>
        <v>0.19464937739912</v>
      </c>
      <c r="I6" s="12">
        <f>(E6+G6+F6-C6)/C6</f>
        <v>-0.958240759244674</v>
      </c>
      <c r="J6" s="12"/>
      <c r="K6" s="12"/>
    </row>
    <row r="7" ht="20.05" customHeight="1">
      <c r="B7" s="27">
        <v>2017</v>
      </c>
      <c r="C7" s="15">
        <v>2158.7</v>
      </c>
      <c r="D7" s="16"/>
      <c r="E7" s="16">
        <v>252.7</v>
      </c>
      <c r="F7" s="16">
        <v>-10.7</v>
      </c>
      <c r="G7" s="16">
        <v>-116.48</v>
      </c>
      <c r="H7" s="12">
        <f>C7/C6-1</f>
        <v>-0.154117734648375</v>
      </c>
      <c r="I7" s="12">
        <f>(E7+G7+F7-C7)/C7</f>
        <v>-0.941853893547042</v>
      </c>
      <c r="J7" s="19"/>
      <c r="K7" s="19"/>
    </row>
    <row r="8" ht="20.05" customHeight="1">
      <c r="B8" s="26"/>
      <c r="C8" s="15">
        <v>2129.3</v>
      </c>
      <c r="D8" s="16"/>
      <c r="E8" s="16">
        <v>262.2</v>
      </c>
      <c r="F8" s="16">
        <v>8.1</v>
      </c>
      <c r="G8" s="16">
        <v>-319.32</v>
      </c>
      <c r="H8" s="12">
        <f>C8/C7-1</f>
        <v>-0.0136193079168018</v>
      </c>
      <c r="I8" s="12">
        <f>(E8+G8+F8-C8)/C8</f>
        <v>-1.02302165030761</v>
      </c>
      <c r="J8" s="19"/>
      <c r="K8" s="19"/>
    </row>
    <row r="9" ht="20.05" customHeight="1">
      <c r="B9" s="26"/>
      <c r="C9" s="15">
        <v>2592.3</v>
      </c>
      <c r="D9" s="16"/>
      <c r="E9" s="16">
        <v>299.6</v>
      </c>
      <c r="F9" s="16">
        <v>8.970000000000001</v>
      </c>
      <c r="G9" s="16">
        <v>-212.1</v>
      </c>
      <c r="H9" s="12">
        <f>C9/C8-1</f>
        <v>0.217442351946649</v>
      </c>
      <c r="I9" s="12">
        <f>(E9+G9+F9-C9)/C9</f>
        <v>-0.962785942984994</v>
      </c>
      <c r="J9" s="19"/>
      <c r="K9" s="19"/>
    </row>
    <row r="10" ht="20.05" customHeight="1">
      <c r="B10" s="26"/>
      <c r="C10" s="15">
        <v>2501.7</v>
      </c>
      <c r="D10" s="16"/>
      <c r="E10" s="16">
        <v>209.8</v>
      </c>
      <c r="F10" s="16">
        <v>-1.87</v>
      </c>
      <c r="G10" s="16">
        <v>-110.1</v>
      </c>
      <c r="H10" s="12">
        <f>C10/C9-1</f>
        <v>-0.0349496586043282</v>
      </c>
      <c r="I10" s="12">
        <f>(E10+G10+F10-C10)/C10</f>
        <v>-0.960894591677659</v>
      </c>
      <c r="J10" s="19"/>
      <c r="K10" s="19"/>
    </row>
    <row r="11" ht="20.05" customHeight="1">
      <c r="B11" s="27">
        <v>2018</v>
      </c>
      <c r="C11" s="15">
        <v>2285.35</v>
      </c>
      <c r="D11" s="16"/>
      <c r="E11" s="16">
        <v>245.5</v>
      </c>
      <c r="F11" s="16">
        <v>-6.8</v>
      </c>
      <c r="G11" s="16">
        <v>-332.37</v>
      </c>
      <c r="H11" s="12">
        <f>C11/C10-1</f>
        <v>-0.0864811927889035</v>
      </c>
      <c r="I11" s="12">
        <f>(E11+G11+F11-C11)/C11</f>
        <v>-1.0409871573282</v>
      </c>
      <c r="J11" s="12">
        <f>AVERAGE(I8:I11)</f>
        <v>-0.996922335574616</v>
      </c>
      <c r="K11" s="12"/>
    </row>
    <row r="12" ht="20.05" customHeight="1">
      <c r="B12" s="26"/>
      <c r="C12" s="15">
        <v>2326.05</v>
      </c>
      <c r="D12" s="16"/>
      <c r="E12" s="16">
        <v>227.8</v>
      </c>
      <c r="F12" s="16">
        <v>-97.8</v>
      </c>
      <c r="G12" s="16">
        <v>-206.9</v>
      </c>
      <c r="H12" s="12">
        <f>C12/C11-1</f>
        <v>0.0178090883234516</v>
      </c>
      <c r="I12" s="12">
        <f>(E12+G12+F12-C12)/C12</f>
        <v>-1.03306033834182</v>
      </c>
      <c r="J12" s="12">
        <f>AVERAGE(I9:I12)</f>
        <v>-0.999432007583168</v>
      </c>
      <c r="K12" s="12"/>
    </row>
    <row r="13" ht="20.05" customHeight="1">
      <c r="B13" s="26"/>
      <c r="C13" s="15">
        <v>2958.2</v>
      </c>
      <c r="D13" s="16"/>
      <c r="E13" s="16">
        <v>278</v>
      </c>
      <c r="F13" s="16">
        <v>-79.40000000000001</v>
      </c>
      <c r="G13" s="16">
        <v>-91.08</v>
      </c>
      <c r="H13" s="12">
        <f>C13/C12-1</f>
        <v>0.271769738397713</v>
      </c>
      <c r="I13" s="12">
        <f>(E13+G13+F13-C13)/C13</f>
        <v>-0.963653573118788</v>
      </c>
      <c r="J13" s="12">
        <f>AVERAGE(I10:I13)</f>
        <v>-0.999648915116617</v>
      </c>
      <c r="K13" s="12"/>
    </row>
    <row r="14" ht="20.05" customHeight="1">
      <c r="B14" s="26"/>
      <c r="C14" s="15">
        <v>2808.1</v>
      </c>
      <c r="D14" s="16"/>
      <c r="E14" s="16">
        <v>292.3</v>
      </c>
      <c r="F14" s="16">
        <v>145.15</v>
      </c>
      <c r="G14" s="16">
        <v>-197.55</v>
      </c>
      <c r="H14" s="12">
        <f>C14/C13-1</f>
        <v>-0.0507403150564532</v>
      </c>
      <c r="I14" s="12">
        <f>(E14+G14+F14-C14)/C14</f>
        <v>-0.914568569495388</v>
      </c>
      <c r="J14" s="12">
        <f>AVERAGE(I11:I14)</f>
        <v>-0.988067409571049</v>
      </c>
      <c r="K14" s="12"/>
    </row>
    <row r="15" ht="20.05" customHeight="1">
      <c r="B15" s="27">
        <v>2019</v>
      </c>
      <c r="C15" s="15">
        <v>2348.6</v>
      </c>
      <c r="D15" s="16"/>
      <c r="E15" s="16">
        <v>150.3</v>
      </c>
      <c r="F15" s="16">
        <v>60</v>
      </c>
      <c r="G15" s="16">
        <v>-123</v>
      </c>
      <c r="H15" s="12">
        <f>C15/C14-1</f>
        <v>-0.163633773726007</v>
      </c>
      <c r="I15" s="12">
        <f>(E15+G15+F15-C15)/C15</f>
        <v>-0.962828919356212</v>
      </c>
      <c r="J15" s="12">
        <f>AVERAGE(I12:I15)</f>
        <v>-0.968527850078052</v>
      </c>
      <c r="K15" s="12"/>
    </row>
    <row r="16" ht="20.05" customHeight="1">
      <c r="B16" s="26"/>
      <c r="C16" s="15">
        <v>2169.51</v>
      </c>
      <c r="D16" s="16"/>
      <c r="E16" s="16">
        <v>171.3</v>
      </c>
      <c r="F16" s="16">
        <v>-2.8</v>
      </c>
      <c r="G16" s="16">
        <v>-155.5</v>
      </c>
      <c r="H16" s="12">
        <f>C16/C15-1</f>
        <v>-0.07625393851656311</v>
      </c>
      <c r="I16" s="12">
        <f>(E16+G16+F16-C16)/C16</f>
        <v>-0.994007863526787</v>
      </c>
      <c r="J16" s="12">
        <f>AVERAGE(I13:I16)</f>
        <v>-0.958764731374294</v>
      </c>
      <c r="K16" s="12"/>
    </row>
    <row r="17" ht="20.05" customHeight="1">
      <c r="B17" s="26"/>
      <c r="C17" s="15">
        <v>3220.54</v>
      </c>
      <c r="D17" s="16"/>
      <c r="E17" s="16">
        <v>73.2</v>
      </c>
      <c r="F17" s="16">
        <v>-1.2</v>
      </c>
      <c r="G17" s="16">
        <v>477.02</v>
      </c>
      <c r="H17" s="12">
        <f>C17/C16-1</f>
        <v>0.484455015187761</v>
      </c>
      <c r="I17" s="12">
        <f>(E17+G17+F17-C17)/C17</f>
        <v>-0.829525483304042</v>
      </c>
      <c r="J17" s="12">
        <f>AVERAGE(I14:I17)</f>
        <v>-0.925232708920607</v>
      </c>
      <c r="K17" s="12"/>
    </row>
    <row r="18" ht="20.05" customHeight="1">
      <c r="B18" s="26"/>
      <c r="C18" s="15">
        <v>3319.15</v>
      </c>
      <c r="D18" s="16"/>
      <c r="E18" s="16">
        <v>131.7</v>
      </c>
      <c r="F18" s="16">
        <v>-4.13</v>
      </c>
      <c r="G18" s="16">
        <v>300.48</v>
      </c>
      <c r="H18" s="12">
        <f>C18/C17-1</f>
        <v>0.0306190887242512</v>
      </c>
      <c r="I18" s="12">
        <f>(E18+G18+F18-C18)/C18</f>
        <v>-0.87103625928325</v>
      </c>
      <c r="J18" s="12">
        <f>AVERAGE(I15:I18)</f>
        <v>-0.914349631367573</v>
      </c>
      <c r="K18" s="12"/>
    </row>
    <row r="19" ht="20.05" customHeight="1">
      <c r="B19" s="27">
        <v>2020</v>
      </c>
      <c r="C19" s="15">
        <v>2463.2</v>
      </c>
      <c r="D19" s="16"/>
      <c r="E19" s="16">
        <v>101.5</v>
      </c>
      <c r="F19" s="16">
        <v>-2.97</v>
      </c>
      <c r="G19" s="16">
        <v>68.42</v>
      </c>
      <c r="H19" s="12">
        <f>C19/C18-1</f>
        <v>-0.257882289140292</v>
      </c>
      <c r="I19" s="12">
        <f>(E19+G19+F19-C19)/C19</f>
        <v>-0.932222312439104</v>
      </c>
      <c r="J19" s="12">
        <f>AVERAGE(I16:I19)</f>
        <v>-0.906697979638296</v>
      </c>
      <c r="K19" s="12"/>
    </row>
    <row r="20" ht="20.05" customHeight="1">
      <c r="B20" s="26"/>
      <c r="C20" s="15">
        <v>2055.12</v>
      </c>
      <c r="D20" s="16"/>
      <c r="E20" s="16">
        <v>150.9</v>
      </c>
      <c r="F20" s="16">
        <v>-14.73</v>
      </c>
      <c r="G20" s="16">
        <v>13.66</v>
      </c>
      <c r="H20" s="12">
        <f>C20/C19-1</f>
        <v>-0.1656706722962</v>
      </c>
      <c r="I20" s="12">
        <f>(E20+G20+F20-C20)/C20</f>
        <v>-0.927094281599128</v>
      </c>
      <c r="J20" s="12">
        <f>AVERAGE(I17:I20)</f>
        <v>-0.8899695841563811</v>
      </c>
      <c r="K20" s="12"/>
    </row>
    <row r="21" ht="20.05" customHeight="1">
      <c r="B21" s="26"/>
      <c r="C21" s="15">
        <v>2817.05</v>
      </c>
      <c r="D21" s="16"/>
      <c r="E21" s="16">
        <v>367.3</v>
      </c>
      <c r="F21" s="16">
        <v>-32.09</v>
      </c>
      <c r="G21" s="16">
        <v>356.42</v>
      </c>
      <c r="H21" s="12">
        <f>C21/C20-1</f>
        <v>0.370747206975748</v>
      </c>
      <c r="I21" s="12">
        <f>(E21+G21+F21-C21)/C21</f>
        <v>-0.754484300953125</v>
      </c>
      <c r="J21" s="12">
        <f>AVERAGE(I18:I21)</f>
        <v>-0.871209288568652</v>
      </c>
      <c r="K21" s="12"/>
    </row>
    <row r="22" ht="20.05" customHeight="1">
      <c r="B22" s="26"/>
      <c r="C22" s="15">
        <v>2772.63</v>
      </c>
      <c r="D22" s="16"/>
      <c r="E22" s="16">
        <v>210.2</v>
      </c>
      <c r="F22" s="16">
        <v>11.89</v>
      </c>
      <c r="G22" s="16">
        <v>212.5</v>
      </c>
      <c r="H22" s="12">
        <f>C22/C21-1</f>
        <v>-0.0157682682238512</v>
      </c>
      <c r="I22" s="12">
        <f>(E22+G22+F22-C22)/C22</f>
        <v>-0.843257124102387</v>
      </c>
      <c r="J22" s="12">
        <f>AVERAGE(I19:I22)</f>
        <v>-0.864264504773436</v>
      </c>
      <c r="K22" s="12"/>
    </row>
    <row r="23" ht="20.05" customHeight="1">
      <c r="B23" s="27">
        <v>2021</v>
      </c>
      <c r="C23" s="15">
        <v>2562.2</v>
      </c>
      <c r="D23" s="16">
        <v>2717.1774</v>
      </c>
      <c r="E23" s="16">
        <f>145.9+65.5</f>
        <v>211.4</v>
      </c>
      <c r="F23" s="16">
        <v>0.7</v>
      </c>
      <c r="G23" s="16">
        <v>156.3</v>
      </c>
      <c r="H23" s="12">
        <f>C23/C22-1</f>
        <v>-0.07589544944691499</v>
      </c>
      <c r="I23" s="12">
        <f>(E23+G23+F23-C23)/C23</f>
        <v>-0.856217313246429</v>
      </c>
      <c r="J23" s="12">
        <f>AVERAGE(I20:I23)</f>
        <v>-0.845263254975267</v>
      </c>
      <c r="K23" s="12"/>
    </row>
    <row r="24" ht="20.05" customHeight="1">
      <c r="B24" s="26"/>
      <c r="C24" s="15">
        <f>5063.2-C23</f>
        <v>2501</v>
      </c>
      <c r="D24" s="16">
        <v>2434.09</v>
      </c>
      <c r="E24" s="16">
        <f>284.6+124.6-E23</f>
        <v>197.8</v>
      </c>
      <c r="F24" s="16">
        <f>1.7-F23</f>
        <v>1</v>
      </c>
      <c r="G24" s="16">
        <f>249.3-G23</f>
        <v>93</v>
      </c>
      <c r="H24" s="12">
        <f>C24/C23-1</f>
        <v>-0.0238857232066193</v>
      </c>
      <c r="I24" s="12">
        <f>(E24+G24+F24-C24)/C24</f>
        <v>-0.883326669332267</v>
      </c>
      <c r="J24" s="12">
        <f>AVERAGE(I21:I24)</f>
        <v>-0.8343213519085519</v>
      </c>
      <c r="K24" s="12"/>
    </row>
    <row r="25" ht="20.05" customHeight="1">
      <c r="B25" s="26"/>
      <c r="C25" s="15">
        <f>8079.3-SUM(C23:C24)</f>
        <v>3016.1</v>
      </c>
      <c r="D25" s="14">
        <v>2751.1</v>
      </c>
      <c r="E25" s="16">
        <f>439.4+187.1-SUM(E23:E24)</f>
        <v>217.3</v>
      </c>
      <c r="F25" s="16">
        <f>-2-SUM(F23:F24)</f>
        <v>-3.7</v>
      </c>
      <c r="G25" s="16">
        <f>459.1-SUM(G23:G24)</f>
        <v>209.8</v>
      </c>
      <c r="H25" s="12">
        <f>C25/C24-1</f>
        <v>0.205957616953219</v>
      </c>
      <c r="I25" s="12">
        <f>(E25+G25+F25-C25)/C25</f>
        <v>-0.859620039123371</v>
      </c>
      <c r="J25" s="12">
        <f>AVERAGE(I22:I25)</f>
        <v>-0.860605286451114</v>
      </c>
      <c r="K25" s="12"/>
    </row>
    <row r="26" ht="20.05" customHeight="1">
      <c r="B26" s="26"/>
      <c r="C26" s="15">
        <f>11218.2-SUM(C23:C25)</f>
        <v>3138.9</v>
      </c>
      <c r="D26" s="14">
        <v>3227.227</v>
      </c>
      <c r="E26" s="16">
        <f>609.1+251.8-SUM(E23:E25)</f>
        <v>234.4</v>
      </c>
      <c r="F26" s="16">
        <f>-4-SUM(F23:F25)</f>
        <v>-2</v>
      </c>
      <c r="G26" s="16">
        <f>720.9-SUM(G23:G25)</f>
        <v>261.8</v>
      </c>
      <c r="H26" s="12">
        <f>C26/C25-1</f>
        <v>0.0407148304101323</v>
      </c>
      <c r="I26" s="12">
        <f>(E26+G26+F26-C26)/C26</f>
        <v>-0.842556309535187</v>
      </c>
      <c r="J26" s="12">
        <f>AVERAGE(I23:I26)</f>
        <v>-0.860430082809314</v>
      </c>
      <c r="K26" s="12"/>
    </row>
    <row r="27" ht="20.05" customHeight="1">
      <c r="B27" s="27">
        <v>2022</v>
      </c>
      <c r="C27" s="15">
        <v>2904.7</v>
      </c>
      <c r="D27" s="14">
        <v>2605.287</v>
      </c>
      <c r="E27" s="16">
        <f>151.1+56.9</f>
        <v>208</v>
      </c>
      <c r="F27" s="16">
        <v>0.6</v>
      </c>
      <c r="G27" s="16">
        <v>177.8</v>
      </c>
      <c r="H27" s="12">
        <f>C27/C26-1</f>
        <v>-0.0746121252668132</v>
      </c>
      <c r="I27" s="12">
        <f>(E27+G27+F27-C27)/C27</f>
        <v>-0.866974214204565</v>
      </c>
      <c r="J27" s="12">
        <f>AVERAGE(I24:I27)</f>
        <v>-0.863119308048848</v>
      </c>
      <c r="K27" s="12">
        <v>-0.842556309535187</v>
      </c>
    </row>
    <row r="28" ht="20.05" customHeight="1">
      <c r="B28" s="26"/>
      <c r="C28" s="15"/>
      <c r="D28" s="14">
        <f>'Model'!C6</f>
        <v>2933.747</v>
      </c>
      <c r="E28" s="16"/>
      <c r="F28" s="16"/>
      <c r="G28" s="16"/>
      <c r="H28" s="12"/>
      <c r="I28" s="19"/>
      <c r="J28" s="12"/>
      <c r="K28" s="12">
        <f>'Model'!C7</f>
        <v>-0.863119308048848</v>
      </c>
    </row>
    <row r="29" ht="20.05" customHeight="1">
      <c r="B29" s="26"/>
      <c r="C29" s="15"/>
      <c r="D29" s="16">
        <f>'Model'!D6</f>
        <v>3432.48399</v>
      </c>
      <c r="E29" s="16"/>
      <c r="F29" s="16"/>
      <c r="G29" s="16"/>
      <c r="H29" s="12"/>
      <c r="I29" s="12"/>
      <c r="J29" s="12"/>
      <c r="K29" s="12"/>
    </row>
    <row r="30" ht="20.05" customHeight="1">
      <c r="B30" s="26"/>
      <c r="C30" s="15"/>
      <c r="D30" s="16">
        <f>'Model'!E6</f>
        <v>3638.4330294</v>
      </c>
      <c r="E30" s="16">
        <f>SUM(C23:C27)</f>
        <v>14122.9</v>
      </c>
      <c r="F30" s="16">
        <f>SUM(D23:D27)</f>
        <v>13734.8814</v>
      </c>
      <c r="G30" s="16"/>
      <c r="H30" s="12"/>
      <c r="I30" s="12"/>
      <c r="J30" s="12"/>
      <c r="K30" s="12"/>
    </row>
    <row r="31" ht="20.05" customHeight="1">
      <c r="B31" s="27">
        <v>2023</v>
      </c>
      <c r="C31" s="15"/>
      <c r="D31" s="16">
        <f>'Model'!F6</f>
        <v>3383.742717342</v>
      </c>
      <c r="E31" s="16"/>
      <c r="F31" s="16"/>
      <c r="G31" s="16"/>
      <c r="H31" s="12"/>
      <c r="I31" s="12"/>
      <c r="J31" s="12"/>
      <c r="K31" s="12"/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O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28" customWidth="1"/>
    <col min="2" max="2" width="9.5625" style="28" customWidth="1"/>
    <col min="3" max="15" width="10.3672" style="28" customWidth="1"/>
    <col min="16" max="16384" width="16.3516" style="28" customWidth="1"/>
  </cols>
  <sheetData>
    <row r="1" ht="13.8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6.75" customHeight="1">
      <c r="B3" t="s" s="5">
        <v>43</v>
      </c>
      <c r="C3" t="s" s="5">
        <v>48</v>
      </c>
      <c r="D3" t="s" s="5">
        <v>8</v>
      </c>
      <c r="E3" t="s" s="5">
        <v>9</v>
      </c>
      <c r="F3" t="s" s="5">
        <v>49</v>
      </c>
      <c r="G3" t="s" s="5">
        <v>12</v>
      </c>
      <c r="H3" t="s" s="5">
        <v>15</v>
      </c>
      <c r="I3" t="s" s="5">
        <v>11</v>
      </c>
      <c r="J3" t="s" s="5">
        <v>50</v>
      </c>
      <c r="K3" t="s" s="5">
        <v>33</v>
      </c>
      <c r="L3" t="s" s="5">
        <v>51</v>
      </c>
      <c r="M3" t="s" s="5">
        <v>29</v>
      </c>
      <c r="N3" t="s" s="5">
        <v>51</v>
      </c>
      <c r="O3" s="29"/>
    </row>
    <row r="4" ht="21.4" customHeight="1">
      <c r="B4" s="23">
        <v>2016</v>
      </c>
      <c r="C4" s="24">
        <v>2934.6</v>
      </c>
      <c r="D4" s="25">
        <v>216.8</v>
      </c>
      <c r="E4" s="25">
        <v>-2111.6</v>
      </c>
      <c r="F4" s="30"/>
      <c r="G4" s="25"/>
      <c r="H4" s="25"/>
      <c r="I4" s="25">
        <v>1575.11</v>
      </c>
      <c r="J4" s="30">
        <f>D4+E4+F4</f>
        <v>-1894.8</v>
      </c>
      <c r="K4" s="30"/>
      <c r="L4" s="25"/>
      <c r="M4" s="25">
        <f>-I4</f>
        <v>-1575.11</v>
      </c>
      <c r="N4" s="25"/>
      <c r="O4" s="25">
        <v>1</v>
      </c>
    </row>
    <row r="5" ht="21.2" customHeight="1">
      <c r="B5" s="26"/>
      <c r="C5" s="15">
        <v>2650.28</v>
      </c>
      <c r="D5" s="16">
        <v>226.49</v>
      </c>
      <c r="E5" s="16">
        <v>-148.8</v>
      </c>
      <c r="F5" s="31"/>
      <c r="G5" s="16"/>
      <c r="H5" s="16"/>
      <c r="I5" s="16">
        <v>-89.51000000000001</v>
      </c>
      <c r="J5" s="31">
        <f>D5+E5+F5</f>
        <v>77.69</v>
      </c>
      <c r="K5" s="31"/>
      <c r="L5" s="16"/>
      <c r="M5" s="16">
        <f>-I5+M4</f>
        <v>-1485.6</v>
      </c>
      <c r="N5" s="16"/>
      <c r="O5" s="16">
        <f>1+O4</f>
        <v>2</v>
      </c>
    </row>
    <row r="6" ht="21.2" customHeight="1">
      <c r="B6" s="26"/>
      <c r="C6" s="15">
        <v>2188.02</v>
      </c>
      <c r="D6" s="16">
        <v>20.11</v>
      </c>
      <c r="E6" s="16">
        <v>-129.4</v>
      </c>
      <c r="F6" s="31"/>
      <c r="G6" s="16"/>
      <c r="H6" s="16"/>
      <c r="I6" s="16">
        <v>117.4</v>
      </c>
      <c r="J6" s="31">
        <f>D6+E6+F6</f>
        <v>-109.29</v>
      </c>
      <c r="K6" s="31"/>
      <c r="L6" s="16"/>
      <c r="M6" s="16">
        <f>-I6+M5</f>
        <v>-1603</v>
      </c>
      <c r="N6" s="16"/>
      <c r="O6" s="16">
        <f>1+O5</f>
        <v>3</v>
      </c>
    </row>
    <row r="7" ht="21.2" customHeight="1">
      <c r="B7" s="26"/>
      <c r="C7" s="15">
        <v>2635.7</v>
      </c>
      <c r="D7" s="16">
        <v>520.1</v>
      </c>
      <c r="E7" s="16">
        <v>-39.1</v>
      </c>
      <c r="F7" s="31"/>
      <c r="G7" s="16"/>
      <c r="H7" s="16"/>
      <c r="I7" s="16">
        <v>-472</v>
      </c>
      <c r="J7" s="31">
        <f>D7+E7+F7</f>
        <v>481</v>
      </c>
      <c r="K7" s="31"/>
      <c r="L7" s="16"/>
      <c r="M7" s="16">
        <f>-I7+M6</f>
        <v>-1131</v>
      </c>
      <c r="N7" s="16"/>
      <c r="O7" s="16">
        <f>1+O6</f>
        <v>4</v>
      </c>
    </row>
    <row r="8" ht="21.2" customHeight="1">
      <c r="B8" s="27">
        <v>2017</v>
      </c>
      <c r="C8" s="15">
        <v>2283.5</v>
      </c>
      <c r="D8" s="16">
        <v>-288.8</v>
      </c>
      <c r="E8" s="16">
        <v>41</v>
      </c>
      <c r="F8" s="31"/>
      <c r="G8" s="16"/>
      <c r="H8" s="16"/>
      <c r="I8" s="16">
        <v>76.5</v>
      </c>
      <c r="J8" s="31">
        <f>D8+E8+F8</f>
        <v>-247.8</v>
      </c>
      <c r="K8" s="31">
        <f>AVERAGE(J5:J8)</f>
        <v>50.4</v>
      </c>
      <c r="L8" s="16"/>
      <c r="M8" s="16">
        <f>-I8+M7</f>
        <v>-1207.5</v>
      </c>
      <c r="N8" s="16"/>
      <c r="O8" s="16">
        <f>1+O7</f>
        <v>5</v>
      </c>
    </row>
    <row r="9" ht="21.2" customHeight="1">
      <c r="B9" s="26"/>
      <c r="C9" s="15">
        <v>2347.9</v>
      </c>
      <c r="D9" s="16">
        <v>20.8</v>
      </c>
      <c r="E9" s="16">
        <v>-90.8</v>
      </c>
      <c r="F9" s="31"/>
      <c r="G9" s="16"/>
      <c r="H9" s="16"/>
      <c r="I9" s="16">
        <v>242.5</v>
      </c>
      <c r="J9" s="31">
        <f>D9+E9+F9</f>
        <v>-70</v>
      </c>
      <c r="K9" s="31">
        <f>AVERAGE(J6:J9)</f>
        <v>13.4775</v>
      </c>
      <c r="L9" s="16"/>
      <c r="M9" s="16">
        <f>-I9+M8</f>
        <v>-1450</v>
      </c>
      <c r="N9" s="16"/>
      <c r="O9" s="16">
        <f>1+O8</f>
        <v>6</v>
      </c>
    </row>
    <row r="10" ht="21.2" customHeight="1">
      <c r="B10" s="26"/>
      <c r="C10" s="15">
        <v>2692.3</v>
      </c>
      <c r="D10" s="16">
        <v>433.7</v>
      </c>
      <c r="E10" s="16">
        <v>-66.5</v>
      </c>
      <c r="F10" s="31"/>
      <c r="G10" s="16"/>
      <c r="H10" s="16"/>
      <c r="I10" s="16">
        <v>-328.8</v>
      </c>
      <c r="J10" s="31">
        <f>D10+E10+F10</f>
        <v>367.2</v>
      </c>
      <c r="K10" s="31">
        <f>AVERAGE(J7:J10)</f>
        <v>132.6</v>
      </c>
      <c r="L10" s="16"/>
      <c r="M10" s="16">
        <f>-I10+M9</f>
        <v>-1121.2</v>
      </c>
      <c r="N10" s="16"/>
      <c r="O10" s="16">
        <f>1+O9</f>
        <v>7</v>
      </c>
    </row>
    <row r="11" ht="21.2" customHeight="1">
      <c r="B11" s="26"/>
      <c r="C11" s="15">
        <v>2919.1</v>
      </c>
      <c r="D11" s="16">
        <v>652.7</v>
      </c>
      <c r="E11" s="16">
        <v>-177</v>
      </c>
      <c r="F11" s="31"/>
      <c r="G11" s="16"/>
      <c r="H11" s="16"/>
      <c r="I11" s="16">
        <v>-288.9</v>
      </c>
      <c r="J11" s="31">
        <f>D11+E11+F11</f>
        <v>475.7</v>
      </c>
      <c r="K11" s="31">
        <f>AVERAGE(J8:J11)</f>
        <v>131.275</v>
      </c>
      <c r="L11" s="16"/>
      <c r="M11" s="16">
        <f>-I11+M10</f>
        <v>-832.3</v>
      </c>
      <c r="N11" s="16"/>
      <c r="O11" s="16">
        <f>1+O10</f>
        <v>8</v>
      </c>
    </row>
    <row r="12" ht="21.2" customHeight="1">
      <c r="B12" s="27">
        <v>2018</v>
      </c>
      <c r="C12" s="15">
        <v>2195.27</v>
      </c>
      <c r="D12" s="16">
        <v>-296.3</v>
      </c>
      <c r="E12" s="16">
        <v>-63</v>
      </c>
      <c r="F12" s="31"/>
      <c r="G12" s="16"/>
      <c r="H12" s="16"/>
      <c r="I12" s="16">
        <v>215</v>
      </c>
      <c r="J12" s="31">
        <f>D12+E12+F12</f>
        <v>-359.3</v>
      </c>
      <c r="K12" s="31">
        <f>AVERAGE(J9:J12)</f>
        <v>103.4</v>
      </c>
      <c r="L12" s="16"/>
      <c r="M12" s="16">
        <f>-I12+M11</f>
        <v>-1047.3</v>
      </c>
      <c r="N12" s="16"/>
      <c r="O12" s="16">
        <f>1+O11</f>
        <v>9</v>
      </c>
    </row>
    <row r="13" ht="21.2" customHeight="1">
      <c r="B13" s="26"/>
      <c r="C13" s="15">
        <v>2621.23</v>
      </c>
      <c r="D13" s="16">
        <v>-246.2</v>
      </c>
      <c r="E13" s="16">
        <v>-110.4</v>
      </c>
      <c r="F13" s="31"/>
      <c r="G13" s="16"/>
      <c r="H13" s="16"/>
      <c r="I13" s="16">
        <v>197.6</v>
      </c>
      <c r="J13" s="31">
        <f>D13+E13+F13</f>
        <v>-356.6</v>
      </c>
      <c r="K13" s="31">
        <f>AVERAGE(J10:J13)</f>
        <v>31.75</v>
      </c>
      <c r="L13" s="16"/>
      <c r="M13" s="16">
        <f>-I13+M12</f>
        <v>-1244.9</v>
      </c>
      <c r="N13" s="16"/>
      <c r="O13" s="16">
        <f>1+O12</f>
        <v>10</v>
      </c>
    </row>
    <row r="14" ht="21.2" customHeight="1">
      <c r="B14" s="26"/>
      <c r="C14" s="15">
        <v>3118.7</v>
      </c>
      <c r="D14" s="16">
        <v>538.9</v>
      </c>
      <c r="E14" s="16">
        <v>-139.6</v>
      </c>
      <c r="F14" s="31"/>
      <c r="G14" s="16"/>
      <c r="H14" s="16"/>
      <c r="I14" s="16">
        <v>-318.7</v>
      </c>
      <c r="J14" s="31">
        <f>D14+E14+F14</f>
        <v>399.3</v>
      </c>
      <c r="K14" s="31">
        <f>AVERAGE(J11:J14)</f>
        <v>39.775</v>
      </c>
      <c r="L14" s="16"/>
      <c r="M14" s="16">
        <f>-I14+M13</f>
        <v>-926.2</v>
      </c>
      <c r="N14" s="16"/>
      <c r="O14" s="16">
        <f>1+O13</f>
        <v>11</v>
      </c>
    </row>
    <row r="15" ht="21.2" customHeight="1">
      <c r="B15" s="26"/>
      <c r="C15" s="15">
        <v>3698.7</v>
      </c>
      <c r="D15" s="16">
        <v>408.1</v>
      </c>
      <c r="E15" s="16">
        <v>-121.4</v>
      </c>
      <c r="F15" s="31"/>
      <c r="G15" s="16"/>
      <c r="H15" s="16"/>
      <c r="I15" s="16">
        <v>-271.2</v>
      </c>
      <c r="J15" s="31">
        <f>D15+E15+F15</f>
        <v>286.7</v>
      </c>
      <c r="K15" s="31">
        <f>AVERAGE(J12:J15)</f>
        <v>-7.475</v>
      </c>
      <c r="L15" s="16"/>
      <c r="M15" s="16">
        <f>-I15+M14</f>
        <v>-655</v>
      </c>
      <c r="N15" s="16"/>
      <c r="O15" s="16">
        <f>1+O14</f>
        <v>12</v>
      </c>
    </row>
    <row r="16" ht="21.2" customHeight="1">
      <c r="B16" s="27">
        <v>2019</v>
      </c>
      <c r="C16" s="15">
        <v>2381.5</v>
      </c>
      <c r="D16" s="16">
        <v>-1091</v>
      </c>
      <c r="E16" s="16">
        <v>-54.8</v>
      </c>
      <c r="F16" s="31"/>
      <c r="G16" s="16"/>
      <c r="H16" s="16"/>
      <c r="I16" s="16">
        <v>1001.8</v>
      </c>
      <c r="J16" s="31">
        <f>D16+E16+F16</f>
        <v>-1145.8</v>
      </c>
      <c r="K16" s="31">
        <f>AVERAGE(J13:J16)</f>
        <v>-204.1</v>
      </c>
      <c r="L16" s="16"/>
      <c r="M16" s="16">
        <f>-I16+M15</f>
        <v>-1656.8</v>
      </c>
      <c r="N16" s="16"/>
      <c r="O16" s="16">
        <f>1+O15</f>
        <v>13</v>
      </c>
    </row>
    <row r="17" ht="21.2" customHeight="1">
      <c r="B17" s="26"/>
      <c r="C17" s="15">
        <v>2287.48</v>
      </c>
      <c r="D17" s="16">
        <v>-529.8</v>
      </c>
      <c r="E17" s="16">
        <v>-111.2</v>
      </c>
      <c r="F17" s="31"/>
      <c r="G17" s="16"/>
      <c r="H17" s="16"/>
      <c r="I17" s="16">
        <v>572.87</v>
      </c>
      <c r="J17" s="31">
        <f>D17+E17+F17</f>
        <v>-641</v>
      </c>
      <c r="K17" s="31">
        <f>AVERAGE(J14:J17)</f>
        <v>-275.2</v>
      </c>
      <c r="L17" s="16"/>
      <c r="M17" s="16">
        <f>-I17+M16</f>
        <v>-2229.67</v>
      </c>
      <c r="N17" s="16"/>
      <c r="O17" s="16">
        <f>1+O16</f>
        <v>14</v>
      </c>
    </row>
    <row r="18" ht="21.2" customHeight="1">
      <c r="B18" s="26"/>
      <c r="C18" s="15">
        <v>3258.2</v>
      </c>
      <c r="D18" s="16">
        <v>640.1</v>
      </c>
      <c r="E18" s="16">
        <v>-93.06</v>
      </c>
      <c r="F18" s="31"/>
      <c r="G18" s="16"/>
      <c r="H18" s="16"/>
      <c r="I18" s="16">
        <v>-278.77</v>
      </c>
      <c r="J18" s="31">
        <f>D18+E18+F18</f>
        <v>547.04</v>
      </c>
      <c r="K18" s="31">
        <f>AVERAGE(J15:J18)</f>
        <v>-238.265</v>
      </c>
      <c r="L18" s="16"/>
      <c r="M18" s="16">
        <f>-I18+M17</f>
        <v>-1950.9</v>
      </c>
      <c r="N18" s="16"/>
      <c r="O18" s="16">
        <f>1+O17</f>
        <v>15</v>
      </c>
    </row>
    <row r="19" ht="21.2" customHeight="1">
      <c r="B19" s="26"/>
      <c r="C19" s="15">
        <v>3718.72</v>
      </c>
      <c r="D19" s="16">
        <v>927.5</v>
      </c>
      <c r="E19" s="16">
        <v>-14</v>
      </c>
      <c r="F19" s="31"/>
      <c r="G19" s="16"/>
      <c r="H19" s="16"/>
      <c r="I19" s="16">
        <v>-920.5</v>
      </c>
      <c r="J19" s="31">
        <f>D19+E19+F19</f>
        <v>913.5</v>
      </c>
      <c r="K19" s="31">
        <f>AVERAGE(J16:J19)</f>
        <v>-81.565</v>
      </c>
      <c r="L19" s="16"/>
      <c r="M19" s="16">
        <f>-I19+M18</f>
        <v>-1030.4</v>
      </c>
      <c r="N19" s="16"/>
      <c r="O19" s="16">
        <f>1+O18</f>
        <v>16</v>
      </c>
    </row>
    <row r="20" ht="21.2" customHeight="1">
      <c r="B20" s="27">
        <v>2020</v>
      </c>
      <c r="C20" s="15">
        <v>2707.5</v>
      </c>
      <c r="D20" s="16">
        <v>-37</v>
      </c>
      <c r="E20" s="16">
        <v>-81.28</v>
      </c>
      <c r="F20" s="31">
        <v>-40.5</v>
      </c>
      <c r="G20" s="16"/>
      <c r="H20" s="16"/>
      <c r="I20" s="16">
        <v>4</v>
      </c>
      <c r="J20" s="31">
        <f>D20+E20+F20</f>
        <v>-158.78</v>
      </c>
      <c r="K20" s="31">
        <f>AVERAGE(J17:J20)</f>
        <v>165.19</v>
      </c>
      <c r="L20" s="16"/>
      <c r="M20" s="16">
        <f>-I20+M19</f>
        <v>-1034.4</v>
      </c>
      <c r="N20" s="16"/>
      <c r="O20" s="16">
        <f>1+O19</f>
        <v>17</v>
      </c>
    </row>
    <row r="21" ht="21.2" customHeight="1">
      <c r="B21" s="26"/>
      <c r="C21" s="15">
        <v>2197.65</v>
      </c>
      <c r="D21" s="16">
        <v>167.7</v>
      </c>
      <c r="E21" s="16">
        <v>-52</v>
      </c>
      <c r="F21" s="31">
        <v>-40.5</v>
      </c>
      <c r="G21" s="16"/>
      <c r="H21" s="16"/>
      <c r="I21" s="16">
        <v>-138.19</v>
      </c>
      <c r="J21" s="31">
        <f>D21+E21+F21</f>
        <v>75.2</v>
      </c>
      <c r="K21" s="31">
        <f>AVERAGE(J18:J21)</f>
        <v>344.24</v>
      </c>
      <c r="L21" s="16"/>
      <c r="M21" s="16">
        <f>-I21+M20</f>
        <v>-896.21</v>
      </c>
      <c r="N21" s="16"/>
      <c r="O21" s="16">
        <f>1+O20</f>
        <v>18</v>
      </c>
    </row>
    <row r="22" ht="21.2" customHeight="1">
      <c r="B22" s="26"/>
      <c r="C22" s="15">
        <v>2625.13</v>
      </c>
      <c r="D22" s="16">
        <v>490.3</v>
      </c>
      <c r="E22" s="16">
        <v>-34.07</v>
      </c>
      <c r="F22" s="31">
        <v>-40.5</v>
      </c>
      <c r="G22" s="16"/>
      <c r="H22" s="16"/>
      <c r="I22" s="16">
        <v>-341.31</v>
      </c>
      <c r="J22" s="31">
        <f>D22+E22+F22</f>
        <v>415.73</v>
      </c>
      <c r="K22" s="31">
        <f>AVERAGE(J19:J22)</f>
        <v>311.4125</v>
      </c>
      <c r="L22" s="16"/>
      <c r="M22" s="16">
        <f>-I22+M21</f>
        <v>-554.9</v>
      </c>
      <c r="N22" s="16"/>
      <c r="O22" s="16">
        <f>1+O21</f>
        <v>19</v>
      </c>
    </row>
    <row r="23" ht="21.2" customHeight="1">
      <c r="B23" s="26"/>
      <c r="C23" s="15">
        <v>2545.02</v>
      </c>
      <c r="D23" s="16">
        <v>379</v>
      </c>
      <c r="E23" s="16">
        <v>-177.35</v>
      </c>
      <c r="F23" s="31">
        <v>-40.5</v>
      </c>
      <c r="G23" s="16"/>
      <c r="H23" s="16"/>
      <c r="I23" s="16">
        <v>-35.5</v>
      </c>
      <c r="J23" s="31">
        <f>D23+E23+F23</f>
        <v>161.15</v>
      </c>
      <c r="K23" s="31">
        <f>AVERAGE(J20:J23)</f>
        <v>123.325</v>
      </c>
      <c r="L23" s="16"/>
      <c r="M23" s="16">
        <f>-I23+M22</f>
        <v>-519.4</v>
      </c>
      <c r="N23" s="16"/>
      <c r="O23" s="16">
        <f>1+O22</f>
        <v>20</v>
      </c>
    </row>
    <row r="24" ht="21.2" customHeight="1">
      <c r="B24" s="27">
        <v>2021</v>
      </c>
      <c r="C24" s="15">
        <v>2119.2</v>
      </c>
      <c r="D24" s="31">
        <v>63</v>
      </c>
      <c r="E24" s="31">
        <v>-55.6</v>
      </c>
      <c r="F24" s="31">
        <v>-71.09999999999999</v>
      </c>
      <c r="G24" s="31">
        <v>0</v>
      </c>
      <c r="H24" s="31">
        <v>0</v>
      </c>
      <c r="I24" s="31">
        <f>-71.1</f>
        <v>-71.09999999999999</v>
      </c>
      <c r="J24" s="31">
        <f>D24+E24+F24</f>
        <v>-63.7</v>
      </c>
      <c r="K24" s="31">
        <f>AVERAGE(J21:J24)</f>
        <v>147.095</v>
      </c>
      <c r="L24" s="16"/>
      <c r="M24" s="16">
        <f>M23-(G24+H24)</f>
        <v>-519.4</v>
      </c>
      <c r="N24" s="16"/>
      <c r="O24" s="16">
        <f>1+O23</f>
        <v>21</v>
      </c>
    </row>
    <row r="25" ht="21.2" customHeight="1">
      <c r="B25" s="26"/>
      <c r="C25" s="15">
        <f>4988.2-C24</f>
        <v>2869</v>
      </c>
      <c r="D25" s="31">
        <f>450.6-D24</f>
        <v>387.6</v>
      </c>
      <c r="E25" s="31">
        <f>-114.7-E24</f>
        <v>-59.1</v>
      </c>
      <c r="F25" s="31">
        <f>-151.3-F24</f>
        <v>-80.2</v>
      </c>
      <c r="G25" s="31">
        <f>-746.1-H25-H24-G24-F25-F24</f>
        <v>-400.1</v>
      </c>
      <c r="H25" s="31">
        <v>-194.7</v>
      </c>
      <c r="I25" s="31">
        <f>-746.1-I24</f>
        <v>-675</v>
      </c>
      <c r="J25" s="31">
        <f>D25+E25+F25</f>
        <v>248.3</v>
      </c>
      <c r="K25" s="31">
        <f>AVERAGE(J22:J25)</f>
        <v>190.37</v>
      </c>
      <c r="L25" s="16"/>
      <c r="M25" s="16">
        <f>M24-(G25+H25)</f>
        <v>75.40000000000001</v>
      </c>
      <c r="N25" s="16"/>
      <c r="O25" s="16">
        <f>1+O24</f>
        <v>22</v>
      </c>
    </row>
    <row r="26" ht="21.2" customHeight="1">
      <c r="B26" s="26"/>
      <c r="C26" s="15">
        <f>7452.1-SUM(C24:C25)</f>
        <v>2463.9</v>
      </c>
      <c r="D26" s="31">
        <f>864.8-SUM(D24:D25)</f>
        <v>414.2</v>
      </c>
      <c r="E26" s="31">
        <f>-249.3-SUM(E24:E25)</f>
        <v>-134.6</v>
      </c>
      <c r="F26" s="31">
        <f>-224.6-SUM(F24:F25)</f>
        <v>-73.3</v>
      </c>
      <c r="G26" s="16">
        <f>-899.4-H26-H25-H24-G25-G24-F26-F25-F24</f>
        <v>-3199.9</v>
      </c>
      <c r="H26" s="16">
        <f>-194.7+3119.9-H25-H24</f>
        <v>3119.9</v>
      </c>
      <c r="I26" s="31">
        <f>-899.4-SUM(I24:I25)</f>
        <v>-153.3</v>
      </c>
      <c r="J26" s="31">
        <f>D26+E26+F26</f>
        <v>206.3</v>
      </c>
      <c r="K26" s="31">
        <f>AVERAGE(J23:J26)</f>
        <v>138.0125</v>
      </c>
      <c r="L26" s="16"/>
      <c r="M26" s="16">
        <f>M25-(G26+H26)</f>
        <v>155.4</v>
      </c>
      <c r="N26" s="16"/>
      <c r="O26" s="16">
        <f>1+O25</f>
        <v>23</v>
      </c>
    </row>
    <row r="27" ht="21.2" customHeight="1">
      <c r="B27" s="26"/>
      <c r="C27" s="15">
        <f>10223.6-SUM(C24:C26)</f>
        <v>2771.5</v>
      </c>
      <c r="D27" s="31">
        <f>1536.6-SUM(D24:D26)</f>
        <v>671.8</v>
      </c>
      <c r="E27" s="31">
        <f>-398.5-SUM(E24:E26)</f>
        <v>-149.2</v>
      </c>
      <c r="F27" s="31">
        <f>-281.9-SUM(F24:F26)</f>
        <v>-57.3</v>
      </c>
      <c r="G27" s="31">
        <f>-4000-SUM(G24:G26)</f>
        <v>-400</v>
      </c>
      <c r="H27" s="31">
        <f>3119.9-14.7-194.7-SUM(H24:H26)</f>
        <v>-14.7</v>
      </c>
      <c r="I27" s="31">
        <f>-1371.5-SUM(I24:I26)</f>
        <v>-472.1</v>
      </c>
      <c r="J27" s="31">
        <f>D27+E27+F27</f>
        <v>465.3</v>
      </c>
      <c r="K27" s="31">
        <f>AVERAGE(J24:J27)</f>
        <v>214.05</v>
      </c>
      <c r="L27" s="16"/>
      <c r="M27" s="16">
        <f>M26-(G27+H27)</f>
        <v>570.1</v>
      </c>
      <c r="N27" s="16"/>
      <c r="O27" s="16">
        <f>1+O26</f>
        <v>24</v>
      </c>
    </row>
    <row r="28" ht="21.2" customHeight="1">
      <c r="B28" s="27">
        <v>2022</v>
      </c>
      <c r="C28" s="15">
        <v>2493.7</v>
      </c>
      <c r="D28" s="31">
        <v>134.1</v>
      </c>
      <c r="E28" s="31">
        <v>-109.5</v>
      </c>
      <c r="F28" s="31">
        <v>-56</v>
      </c>
      <c r="G28" s="31">
        <f>I28-H28-F28</f>
        <v>0</v>
      </c>
      <c r="H28" s="31">
        <v>0</v>
      </c>
      <c r="I28" s="31">
        <v>-56</v>
      </c>
      <c r="J28" s="31">
        <f>D28+E28+F28</f>
        <v>-31.4</v>
      </c>
      <c r="K28" s="31">
        <f>AVERAGE(J25:J28)</f>
        <v>222.125</v>
      </c>
      <c r="L28" s="16">
        <v>343.44915792</v>
      </c>
      <c r="M28" s="16">
        <f>M27-(G28+H28)</f>
        <v>570.1</v>
      </c>
      <c r="N28" s="16">
        <v>1737.39344992</v>
      </c>
      <c r="O28" s="16">
        <f>1+O27</f>
        <v>25</v>
      </c>
    </row>
    <row r="29" ht="21.2" customHeight="1">
      <c r="B29" s="26"/>
      <c r="C29" s="15"/>
      <c r="D29" s="31"/>
      <c r="E29" s="31"/>
      <c r="F29" s="31"/>
      <c r="G29" s="31"/>
      <c r="H29" s="31"/>
      <c r="I29" s="31"/>
      <c r="J29" s="31"/>
      <c r="K29" s="19"/>
      <c r="L29" s="31">
        <f>SUM('Model'!F9:F11)</f>
        <v>297.669044534440</v>
      </c>
      <c r="M29" s="19"/>
      <c r="N29" s="16">
        <f>'Model'!F34</f>
        <v>1740.714378248710</v>
      </c>
      <c r="O29" s="16"/>
    </row>
  </sheetData>
  <mergeCells count="1">
    <mergeCell ref="B2:O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2" customWidth="1"/>
    <col min="2" max="11" width="9.21875" style="32" customWidth="1"/>
    <col min="12" max="16384" width="16.3516" style="32" customWidth="1"/>
  </cols>
  <sheetData>
    <row r="1" ht="7.5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43</v>
      </c>
      <c r="C3" t="s" s="5">
        <v>52</v>
      </c>
      <c r="D3" t="s" s="5">
        <v>53</v>
      </c>
      <c r="E3" t="s" s="5">
        <v>23</v>
      </c>
      <c r="F3" t="s" s="5">
        <v>24</v>
      </c>
      <c r="G3" t="s" s="5">
        <v>12</v>
      </c>
      <c r="H3" t="s" s="5">
        <v>15</v>
      </c>
      <c r="I3" t="s" s="5">
        <v>54</v>
      </c>
      <c r="J3" t="s" s="5">
        <v>27</v>
      </c>
      <c r="K3" t="s" s="5">
        <v>35</v>
      </c>
    </row>
    <row r="4" ht="20.25" customHeight="1">
      <c r="B4" s="23">
        <v>2016</v>
      </c>
      <c r="C4" s="24">
        <v>301</v>
      </c>
      <c r="D4" s="25">
        <v>20425</v>
      </c>
      <c r="E4" s="25">
        <f>D4-C4</f>
        <v>20124</v>
      </c>
      <c r="F4" s="25">
        <v>8708</v>
      </c>
      <c r="G4" s="25">
        <v>11908</v>
      </c>
      <c r="H4" s="25">
        <v>8517</v>
      </c>
      <c r="I4" s="25">
        <f>G4+H4-C4-E4</f>
        <v>0</v>
      </c>
      <c r="J4" s="25">
        <f>C4-G4</f>
        <v>-11607</v>
      </c>
      <c r="K4" s="25"/>
    </row>
    <row r="5" ht="20.05" customHeight="1">
      <c r="B5" s="26"/>
      <c r="C5" s="15">
        <v>281</v>
      </c>
      <c r="D5" s="16">
        <v>20141</v>
      </c>
      <c r="E5" s="16">
        <f>D5-C5</f>
        <v>19860</v>
      </c>
      <c r="F5" s="16">
        <v>9002</v>
      </c>
      <c r="G5" s="16">
        <v>11857</v>
      </c>
      <c r="H5" s="16">
        <v>8284</v>
      </c>
      <c r="I5" s="16">
        <f>G5+H5-C5-E5</f>
        <v>0</v>
      </c>
      <c r="J5" s="16">
        <f>C5-G5</f>
        <v>-11576</v>
      </c>
      <c r="K5" s="16"/>
    </row>
    <row r="6" ht="20.05" customHeight="1">
      <c r="B6" s="26"/>
      <c r="C6" s="15">
        <v>288</v>
      </c>
      <c r="D6" s="16">
        <v>19873</v>
      </c>
      <c r="E6" s="16">
        <f>D6-C6</f>
        <v>19585</v>
      </c>
      <c r="F6" s="16">
        <v>9302</v>
      </c>
      <c r="G6" s="16">
        <v>11698</v>
      </c>
      <c r="H6" s="16">
        <v>8175</v>
      </c>
      <c r="I6" s="16">
        <f>G6+H6-C6-E6</f>
        <v>0</v>
      </c>
      <c r="J6" s="16">
        <f>C6-G6</f>
        <v>-11410</v>
      </c>
      <c r="K6" s="16"/>
    </row>
    <row r="7" ht="20.05" customHeight="1">
      <c r="B7" s="26"/>
      <c r="C7" s="15">
        <v>324</v>
      </c>
      <c r="D7" s="16">
        <v>19763</v>
      </c>
      <c r="E7" s="16">
        <f>D7-C7</f>
        <v>19439</v>
      </c>
      <c r="F7" s="16">
        <v>9465</v>
      </c>
      <c r="G7" s="16">
        <v>11703</v>
      </c>
      <c r="H7" s="16">
        <v>8060</v>
      </c>
      <c r="I7" s="16">
        <f>G7+H7-C7-E7</f>
        <v>0</v>
      </c>
      <c r="J7" s="16">
        <f>C7-G7</f>
        <v>-11379</v>
      </c>
      <c r="K7" s="16"/>
    </row>
    <row r="8" ht="20.05" customHeight="1">
      <c r="B8" s="27">
        <v>2017</v>
      </c>
      <c r="C8" s="15">
        <v>181</v>
      </c>
      <c r="D8" s="16">
        <v>19639</v>
      </c>
      <c r="E8" s="16">
        <f>D8-C8</f>
        <v>19458</v>
      </c>
      <c r="F8" s="16">
        <v>9718</v>
      </c>
      <c r="G8" s="16">
        <v>11695</v>
      </c>
      <c r="H8" s="16">
        <v>7944</v>
      </c>
      <c r="I8" s="16">
        <f>G8+H8-C8-E8</f>
        <v>0</v>
      </c>
      <c r="J8" s="16">
        <f>C8-G8</f>
        <v>-11514</v>
      </c>
      <c r="K8" s="16"/>
    </row>
    <row r="9" ht="20.05" customHeight="1">
      <c r="B9" s="26"/>
      <c r="C9" s="15">
        <v>324</v>
      </c>
      <c r="D9" s="16">
        <v>19557</v>
      </c>
      <c r="E9" s="16">
        <f>D9-C9</f>
        <v>19233</v>
      </c>
      <c r="F9" s="16">
        <v>9965</v>
      </c>
      <c r="G9" s="16">
        <v>11953</v>
      </c>
      <c r="H9" s="16">
        <v>7604</v>
      </c>
      <c r="I9" s="16">
        <f>G9+H9-C9-E9</f>
        <v>0</v>
      </c>
      <c r="J9" s="16">
        <f>C9-G9</f>
        <v>-11629</v>
      </c>
      <c r="K9" s="16"/>
    </row>
    <row r="10" ht="20.05" customHeight="1">
      <c r="B10" s="26"/>
      <c r="C10" s="15">
        <v>363</v>
      </c>
      <c r="D10" s="16">
        <v>19371</v>
      </c>
      <c r="E10" s="16">
        <f>D10-C10</f>
        <v>19008</v>
      </c>
      <c r="F10" s="16">
        <v>10232</v>
      </c>
      <c r="G10" s="16">
        <v>11979</v>
      </c>
      <c r="H10" s="16">
        <v>7392</v>
      </c>
      <c r="I10" s="16">
        <f>G10+H10-C10-E10</f>
        <v>0</v>
      </c>
      <c r="J10" s="16">
        <f>C10-G10</f>
        <v>-11616</v>
      </c>
      <c r="K10" s="16"/>
    </row>
    <row r="11" ht="20.05" customHeight="1">
      <c r="B11" s="26"/>
      <c r="C11" s="15">
        <v>548</v>
      </c>
      <c r="D11" s="16">
        <v>19626</v>
      </c>
      <c r="E11" s="16">
        <f>D11-C11</f>
        <v>19078</v>
      </c>
      <c r="F11" s="16">
        <v>10432</v>
      </c>
      <c r="G11" s="16">
        <v>12429</v>
      </c>
      <c r="H11" s="16">
        <v>7197</v>
      </c>
      <c r="I11" s="16">
        <f>G11+H11-C11-E11</f>
        <v>0</v>
      </c>
      <c r="J11" s="16">
        <f>C11-G11</f>
        <v>-11881</v>
      </c>
      <c r="K11" s="16"/>
    </row>
    <row r="12" ht="20.05" customHeight="1">
      <c r="B12" s="27">
        <v>2018</v>
      </c>
      <c r="C12" s="15">
        <v>410</v>
      </c>
      <c r="D12" s="16">
        <v>19528</v>
      </c>
      <c r="E12" s="16">
        <f>D12-C12</f>
        <v>19118</v>
      </c>
      <c r="F12" s="16">
        <v>10664</v>
      </c>
      <c r="G12" s="16">
        <v>12675</v>
      </c>
      <c r="H12" s="16">
        <v>6853</v>
      </c>
      <c r="I12" s="16">
        <f>G12+H12-C12-E12</f>
        <v>0</v>
      </c>
      <c r="J12" s="16">
        <f>C12-G12</f>
        <v>-12265</v>
      </c>
      <c r="K12" s="16"/>
    </row>
    <row r="13" ht="20.05" customHeight="1">
      <c r="B13" s="26"/>
      <c r="C13" s="15">
        <v>251</v>
      </c>
      <c r="D13" s="16">
        <v>18949</v>
      </c>
      <c r="E13" s="16">
        <f>D13-C13</f>
        <v>18698</v>
      </c>
      <c r="F13" s="16">
        <v>10860</v>
      </c>
      <c r="G13" s="16">
        <v>12308</v>
      </c>
      <c r="H13" s="16">
        <v>6641</v>
      </c>
      <c r="I13" s="16">
        <f>G13+H13-C13-E13</f>
        <v>0</v>
      </c>
      <c r="J13" s="16">
        <f>C13-G13</f>
        <v>-12057</v>
      </c>
      <c r="K13" s="16"/>
    </row>
    <row r="14" ht="20.05" customHeight="1">
      <c r="B14" s="26"/>
      <c r="C14" s="15">
        <v>325</v>
      </c>
      <c r="D14" s="16">
        <v>18947</v>
      </c>
      <c r="E14" s="16">
        <f>D14-C14</f>
        <v>18622</v>
      </c>
      <c r="F14" s="16">
        <v>11100</v>
      </c>
      <c r="G14" s="16">
        <v>12415</v>
      </c>
      <c r="H14" s="16">
        <v>6532</v>
      </c>
      <c r="I14" s="16">
        <f>G14+H14-C14-E14</f>
        <v>0</v>
      </c>
      <c r="J14" s="16">
        <f>C14-G14</f>
        <v>-12090</v>
      </c>
      <c r="K14" s="16"/>
    </row>
    <row r="15" ht="20.05" customHeight="1">
      <c r="B15" s="26"/>
      <c r="C15" s="15">
        <v>337</v>
      </c>
      <c r="D15" s="16">
        <v>18667</v>
      </c>
      <c r="E15" s="16">
        <f>D15-C15</f>
        <v>18330</v>
      </c>
      <c r="F15" s="16">
        <f>11365</f>
        <v>11365</v>
      </c>
      <c r="G15" s="16">
        <v>12251</v>
      </c>
      <c r="H15" s="16">
        <v>6416</v>
      </c>
      <c r="I15" s="16">
        <f>G15+H15-C15-E15</f>
        <v>0</v>
      </c>
      <c r="J15" s="16">
        <f>C15-G15</f>
        <v>-11914</v>
      </c>
      <c r="K15" s="16"/>
    </row>
    <row r="16" ht="20.05" customHeight="1">
      <c r="B16" s="27">
        <v>2019</v>
      </c>
      <c r="C16" s="15">
        <v>192</v>
      </c>
      <c r="D16" s="16">
        <v>18866</v>
      </c>
      <c r="E16" s="16">
        <f>D16-C16</f>
        <v>18674</v>
      </c>
      <c r="F16" s="16">
        <f>143+11512</f>
        <v>11655</v>
      </c>
      <c r="G16" s="16">
        <v>12574</v>
      </c>
      <c r="H16" s="16">
        <v>6292</v>
      </c>
      <c r="I16" s="16">
        <f>G16+H16-C16-E16</f>
        <v>0</v>
      </c>
      <c r="J16" s="16">
        <f>C16-G16</f>
        <v>-12382</v>
      </c>
      <c r="K16" s="16"/>
    </row>
    <row r="17" ht="20.05" customHeight="1">
      <c r="B17" s="26"/>
      <c r="C17" s="15">
        <v>124</v>
      </c>
      <c r="D17" s="16">
        <v>19037</v>
      </c>
      <c r="E17" s="16">
        <f>D17-C17</f>
        <v>18913</v>
      </c>
      <c r="F17" s="16">
        <f>81+11684</f>
        <v>11765</v>
      </c>
      <c r="G17" s="16">
        <v>12902</v>
      </c>
      <c r="H17" s="16">
        <v>6135</v>
      </c>
      <c r="I17" s="16">
        <f>G17+H17-C17-E17</f>
        <v>0</v>
      </c>
      <c r="J17" s="16">
        <f>C17-G17</f>
        <v>-12778</v>
      </c>
      <c r="K17" s="16"/>
    </row>
    <row r="18" ht="20.05" customHeight="1">
      <c r="B18" s="26"/>
      <c r="C18" s="15">
        <v>395</v>
      </c>
      <c r="D18" s="16">
        <v>19391</v>
      </c>
      <c r="E18" s="16">
        <f>D18-C18</f>
        <v>18996</v>
      </c>
      <c r="F18" s="16">
        <f>82.5+11780.9</f>
        <v>11863.4</v>
      </c>
      <c r="G18" s="16">
        <v>12845</v>
      </c>
      <c r="H18" s="16">
        <v>6546</v>
      </c>
      <c r="I18" s="16">
        <f>G18+H18-C18-E18</f>
        <v>0</v>
      </c>
      <c r="J18" s="16">
        <f>C18-G18</f>
        <v>-12450</v>
      </c>
      <c r="K18" s="16"/>
    </row>
    <row r="19" ht="20.05" customHeight="1">
      <c r="B19" s="26"/>
      <c r="C19" s="15">
        <v>387</v>
      </c>
      <c r="D19" s="16">
        <v>19568</v>
      </c>
      <c r="E19" s="16">
        <f>D19-C19</f>
        <v>19181</v>
      </c>
      <c r="F19" s="16">
        <f>11840</f>
        <v>11840</v>
      </c>
      <c r="G19" s="16">
        <v>12585</v>
      </c>
      <c r="H19" s="16">
        <v>6983</v>
      </c>
      <c r="I19" s="16">
        <f>G19+H19-C19-E19</f>
        <v>0</v>
      </c>
      <c r="J19" s="16">
        <f>C19-G19</f>
        <v>-12198</v>
      </c>
      <c r="K19" s="16"/>
    </row>
    <row r="20" ht="20.05" customHeight="1">
      <c r="B20" s="27">
        <v>2020</v>
      </c>
      <c r="C20" s="15">
        <v>274</v>
      </c>
      <c r="D20" s="16">
        <v>19476</v>
      </c>
      <c r="E20" s="16">
        <f>D20-C20</f>
        <v>19202</v>
      </c>
      <c r="F20" s="16">
        <f>1+11942</f>
        <v>11943</v>
      </c>
      <c r="G20" s="16">
        <v>12417</v>
      </c>
      <c r="H20" s="16">
        <v>7059</v>
      </c>
      <c r="I20" s="16">
        <f>G20+H20-C20-E20</f>
        <v>0</v>
      </c>
      <c r="J20" s="16">
        <f>C20-G20</f>
        <v>-12143</v>
      </c>
      <c r="K20" s="16"/>
    </row>
    <row r="21" ht="20.05" customHeight="1">
      <c r="B21" s="26"/>
      <c r="C21" s="15">
        <v>248</v>
      </c>
      <c r="D21" s="16">
        <v>19504</v>
      </c>
      <c r="E21" s="16">
        <f>D21-C21</f>
        <v>19256</v>
      </c>
      <c r="F21" s="16">
        <f>14+12092</f>
        <v>12106</v>
      </c>
      <c r="G21" s="16">
        <v>12431</v>
      </c>
      <c r="H21" s="16">
        <v>7073</v>
      </c>
      <c r="I21" s="16">
        <f>G21+H21-C21-E21</f>
        <v>0</v>
      </c>
      <c r="J21" s="16">
        <f>C21-G21</f>
        <v>-12183</v>
      </c>
      <c r="K21" s="16"/>
    </row>
    <row r="22" ht="20.05" customHeight="1">
      <c r="B22" s="26"/>
      <c r="C22" s="15">
        <v>362</v>
      </c>
      <c r="D22" s="16">
        <v>20255</v>
      </c>
      <c r="E22" s="16">
        <f>D22-C22</f>
        <v>19893</v>
      </c>
      <c r="F22" s="16">
        <f>215+12245</f>
        <v>12460</v>
      </c>
      <c r="G22" s="16">
        <v>12883</v>
      </c>
      <c r="H22" s="16">
        <v>7372</v>
      </c>
      <c r="I22" s="16">
        <f>G22+H22-C22-E22</f>
        <v>0</v>
      </c>
      <c r="J22" s="16">
        <f>C22-G22</f>
        <v>-12521</v>
      </c>
      <c r="K22" s="16"/>
    </row>
    <row r="23" ht="20.05" customHeight="1">
      <c r="B23" s="26"/>
      <c r="C23" s="15">
        <v>527</v>
      </c>
      <c r="D23" s="16">
        <v>20738</v>
      </c>
      <c r="E23" s="16">
        <f>D23-C23</f>
        <v>20211</v>
      </c>
      <c r="F23" s="16">
        <f>288+12354</f>
        <v>12642</v>
      </c>
      <c r="G23" s="16">
        <v>13172</v>
      </c>
      <c r="H23" s="16">
        <v>7566</v>
      </c>
      <c r="I23" s="16">
        <f>G23+H23-C23-E23</f>
        <v>0</v>
      </c>
      <c r="J23" s="16">
        <f>C23-G23</f>
        <v>-12645</v>
      </c>
      <c r="K23" s="16"/>
    </row>
    <row r="24" ht="20.05" customHeight="1">
      <c r="B24" s="27">
        <v>2021</v>
      </c>
      <c r="C24" s="15">
        <v>463</v>
      </c>
      <c r="D24" s="16">
        <v>21106</v>
      </c>
      <c r="E24" s="16">
        <f>D24-C24</f>
        <v>20643</v>
      </c>
      <c r="F24" s="16">
        <f>F23+'Sales'!E23</f>
        <v>12853.4</v>
      </c>
      <c r="G24" s="16">
        <v>13579</v>
      </c>
      <c r="H24" s="16">
        <v>7527</v>
      </c>
      <c r="I24" s="16">
        <f>G24+H24-C24-E24</f>
        <v>0</v>
      </c>
      <c r="J24" s="16">
        <f>C24-G24</f>
        <v>-13116</v>
      </c>
      <c r="K24" s="16"/>
    </row>
    <row r="25" ht="20.05" customHeight="1">
      <c r="B25" s="26"/>
      <c r="C25" s="15">
        <v>118</v>
      </c>
      <c r="D25" s="16">
        <v>20654</v>
      </c>
      <c r="E25" s="16">
        <f>D25-C25</f>
        <v>20536</v>
      </c>
      <c r="F25" s="16">
        <f>411+12638</f>
        <v>13049</v>
      </c>
      <c r="G25" s="16">
        <v>13034</v>
      </c>
      <c r="H25" s="16">
        <v>7620</v>
      </c>
      <c r="I25" s="16">
        <f>G25+H25-C25-E25</f>
        <v>0</v>
      </c>
      <c r="J25" s="16">
        <f>C25-G25</f>
        <v>-12916</v>
      </c>
      <c r="K25" s="16"/>
    </row>
    <row r="26" ht="20.05" customHeight="1">
      <c r="B26" s="26"/>
      <c r="C26" s="15">
        <v>244</v>
      </c>
      <c r="D26" s="16">
        <v>21039</v>
      </c>
      <c r="E26" s="16">
        <f>D26-C26</f>
        <v>20795</v>
      </c>
      <c r="F26" s="16">
        <f>12792+474</f>
        <v>13266</v>
      </c>
      <c r="G26" s="16">
        <f>10101</f>
        <v>10101</v>
      </c>
      <c r="H26" s="16">
        <v>10938</v>
      </c>
      <c r="I26" s="16">
        <f>G26+H26-C26-E26</f>
        <v>0</v>
      </c>
      <c r="J26" s="16">
        <f>C26-G26</f>
        <v>-9857</v>
      </c>
      <c r="K26" s="16"/>
    </row>
    <row r="27" ht="20.05" customHeight="1">
      <c r="B27" s="26"/>
      <c r="C27" s="15">
        <v>291</v>
      </c>
      <c r="D27" s="16">
        <v>21492</v>
      </c>
      <c r="E27" s="16">
        <f>D27-C27</f>
        <v>21201</v>
      </c>
      <c r="F27" s="16">
        <f>539+12849</f>
        <v>13388</v>
      </c>
      <c r="G27" s="16">
        <v>10310</v>
      </c>
      <c r="H27" s="16">
        <v>11182</v>
      </c>
      <c r="I27" s="16">
        <f>G27+H27-C27-E27</f>
        <v>0</v>
      </c>
      <c r="J27" s="16">
        <f>C27-G27</f>
        <v>-10019</v>
      </c>
      <c r="K27" s="16"/>
    </row>
    <row r="28" ht="20.05" customHeight="1">
      <c r="B28" s="27">
        <v>2022</v>
      </c>
      <c r="C28" s="15">
        <v>259</v>
      </c>
      <c r="D28" s="16">
        <v>22068</v>
      </c>
      <c r="E28" s="16">
        <f>D28-C28</f>
        <v>21809</v>
      </c>
      <c r="F28" s="16">
        <f>489+13000</f>
        <v>13489</v>
      </c>
      <c r="G28" s="16">
        <v>10689</v>
      </c>
      <c r="H28" s="16">
        <v>11379</v>
      </c>
      <c r="I28" s="16">
        <f>G28+H28-C28-E28</f>
        <v>0</v>
      </c>
      <c r="J28" s="16">
        <f>C28-G28</f>
        <v>-10430</v>
      </c>
      <c r="K28" s="16">
        <v>-8951.004585056</v>
      </c>
    </row>
    <row r="29" ht="20.05" customHeight="1">
      <c r="B29" s="26"/>
      <c r="C29" s="15"/>
      <c r="D29" s="16"/>
      <c r="E29" s="16"/>
      <c r="F29" s="16"/>
      <c r="G29" s="16"/>
      <c r="H29" s="16"/>
      <c r="I29" s="16"/>
      <c r="J29" s="16"/>
      <c r="K29" s="16">
        <f>'Model'!F32</f>
        <v>-9235.508497401030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3" customWidth="1"/>
    <col min="2" max="4" width="9.9375" style="33" customWidth="1"/>
    <col min="5" max="16384" width="16.3516" style="33" customWidth="1"/>
  </cols>
  <sheetData>
    <row r="1" ht="30.75" customHeight="1"/>
    <row r="2" ht="27.65" customHeight="1">
      <c r="B2" t="s" s="2">
        <v>55</v>
      </c>
      <c r="C2" s="2"/>
      <c r="D2" s="2"/>
    </row>
    <row r="3" ht="20.25" customHeight="1">
      <c r="B3" s="4"/>
      <c r="C3" t="s" s="34">
        <v>56</v>
      </c>
      <c r="D3" t="s" s="34">
        <v>57</v>
      </c>
    </row>
    <row r="4" ht="20.25" customHeight="1">
      <c r="B4" s="23">
        <v>2018</v>
      </c>
      <c r="C4" s="35">
        <v>800</v>
      </c>
      <c r="D4" s="8"/>
    </row>
    <row r="5" ht="20.05" customHeight="1">
      <c r="B5" s="26"/>
      <c r="C5" s="36">
        <v>565</v>
      </c>
      <c r="D5" s="19"/>
    </row>
    <row r="6" ht="20.05" customHeight="1">
      <c r="B6" s="26"/>
      <c r="C6" s="37">
        <v>1055</v>
      </c>
      <c r="D6" s="19"/>
    </row>
    <row r="7" ht="20.05" customHeight="1">
      <c r="B7" s="26"/>
      <c r="C7" s="37">
        <v>1885</v>
      </c>
      <c r="D7" s="19"/>
    </row>
    <row r="8" ht="20.05" customHeight="1">
      <c r="B8" s="27">
        <v>2019</v>
      </c>
      <c r="C8" s="37">
        <v>2060</v>
      </c>
      <c r="D8" s="19"/>
    </row>
    <row r="9" ht="20.05" customHeight="1">
      <c r="B9" s="26"/>
      <c r="C9" s="37">
        <v>1570</v>
      </c>
      <c r="D9" s="19"/>
    </row>
    <row r="10" ht="20.05" customHeight="1">
      <c r="B10" s="26"/>
      <c r="C10" s="37">
        <v>1340</v>
      </c>
      <c r="D10" s="19"/>
    </row>
    <row r="11" ht="20.05" customHeight="1">
      <c r="B11" s="26"/>
      <c r="C11" s="37">
        <v>1180</v>
      </c>
      <c r="D11" s="19"/>
    </row>
    <row r="12" ht="20.05" customHeight="1">
      <c r="B12" s="27">
        <v>2020</v>
      </c>
      <c r="C12" s="36">
        <v>660</v>
      </c>
      <c r="D12" s="19"/>
    </row>
    <row r="13" ht="20.05" customHeight="1">
      <c r="B13" s="26"/>
      <c r="C13" s="37">
        <v>1080</v>
      </c>
      <c r="D13" s="19"/>
    </row>
    <row r="14" ht="20.05" customHeight="1">
      <c r="B14" s="26"/>
      <c r="C14" s="36">
        <v>970</v>
      </c>
      <c r="D14" s="19"/>
    </row>
    <row r="15" ht="20.05" customHeight="1">
      <c r="B15" s="26"/>
      <c r="C15" s="37">
        <v>1440</v>
      </c>
      <c r="D15" s="19"/>
    </row>
    <row r="16" ht="20.05" customHeight="1">
      <c r="B16" s="27">
        <v>2021</v>
      </c>
      <c r="C16" s="37">
        <v>1710</v>
      </c>
      <c r="D16" s="19"/>
    </row>
    <row r="17" ht="20.05" customHeight="1">
      <c r="B17" s="26"/>
      <c r="C17" s="37">
        <v>1765</v>
      </c>
      <c r="D17" s="19"/>
    </row>
    <row r="18" ht="20.05" customHeight="1">
      <c r="B18" s="26"/>
      <c r="C18" s="37">
        <v>1765</v>
      </c>
      <c r="D18" s="38"/>
    </row>
    <row r="19" ht="20.05" customHeight="1">
      <c r="B19" s="26"/>
      <c r="C19" s="37">
        <v>1690</v>
      </c>
      <c r="D19" s="38"/>
    </row>
    <row r="20" ht="20.05" customHeight="1">
      <c r="B20" s="27">
        <v>2022</v>
      </c>
      <c r="C20" s="37">
        <v>1735</v>
      </c>
      <c r="D20" s="39">
        <v>2348.160456861150</v>
      </c>
    </row>
    <row r="21" ht="20.05" customHeight="1">
      <c r="B21" s="26"/>
      <c r="C21" s="15">
        <v>1580</v>
      </c>
      <c r="D21" s="39">
        <v>2208.3890010956</v>
      </c>
    </row>
    <row r="22" ht="20.05" customHeight="1">
      <c r="B22" s="26"/>
      <c r="C22" s="37"/>
      <c r="D22" s="39">
        <f>'Model'!F45</f>
        <v>2076.620673821560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Q3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0.5" style="40" customWidth="1"/>
    <col min="2" max="8" width="10.8672" style="40" customWidth="1"/>
    <col min="9" max="17" width="11.375" style="42" customWidth="1"/>
    <col min="18" max="16384" width="16.3516" style="42" customWidth="1"/>
  </cols>
  <sheetData>
    <row r="1" ht="27.65" customHeight="1">
      <c r="A1" t="s" s="2">
        <v>58</v>
      </c>
      <c r="B1" s="2"/>
      <c r="C1" s="2"/>
      <c r="D1" s="2"/>
      <c r="E1" s="2"/>
      <c r="F1" s="2"/>
      <c r="G1" s="2"/>
      <c r="H1" s="2"/>
    </row>
    <row r="2" ht="20.25" customHeight="1">
      <c r="A2" t="s" s="5">
        <v>43</v>
      </c>
      <c r="B2" t="s" s="5">
        <v>12</v>
      </c>
      <c r="C2" t="s" s="5">
        <v>15</v>
      </c>
      <c r="D2" t="s" s="5">
        <v>59</v>
      </c>
      <c r="E2" t="s" s="5">
        <v>12</v>
      </c>
      <c r="F2" t="s" s="5">
        <v>15</v>
      </c>
      <c r="G2" t="s" s="5">
        <v>59</v>
      </c>
      <c r="H2" s="4"/>
    </row>
    <row r="3" ht="20.25" customHeight="1">
      <c r="A3" s="23">
        <v>2009</v>
      </c>
      <c r="B3" s="24">
        <f>-1586+2</f>
        <v>-1584</v>
      </c>
      <c r="C3" s="25"/>
      <c r="D3" s="25">
        <f>B3+C3</f>
        <v>-1584</v>
      </c>
      <c r="E3" s="25">
        <f>B3</f>
        <v>-1584</v>
      </c>
      <c r="F3" s="25">
        <f>C3</f>
        <v>0</v>
      </c>
      <c r="G3" s="25">
        <f>D3</f>
        <v>-1584</v>
      </c>
      <c r="H3" s="8"/>
    </row>
    <row r="4" ht="20.05" customHeight="1">
      <c r="A4" s="27">
        <f>1+$A3</f>
        <v>2010</v>
      </c>
      <c r="B4" s="15">
        <f>-124+9</f>
        <v>-115</v>
      </c>
      <c r="C4" s="16"/>
      <c r="D4" s="16">
        <f>B4+C4</f>
        <v>-115</v>
      </c>
      <c r="E4" s="16">
        <f>B4+E3</f>
        <v>-1699</v>
      </c>
      <c r="F4" s="16">
        <f>C4+F3</f>
        <v>0</v>
      </c>
      <c r="G4" s="16">
        <f>D4+G3</f>
        <v>-1699</v>
      </c>
      <c r="H4" s="19"/>
    </row>
    <row r="5" ht="20.05" customHeight="1">
      <c r="A5" s="27">
        <f>1+$A4</f>
        <v>2011</v>
      </c>
      <c r="B5" s="15">
        <f>-1082+4-C5</f>
        <v>-724</v>
      </c>
      <c r="C5" s="16">
        <v>-354</v>
      </c>
      <c r="D5" s="16">
        <f>B5+C5</f>
        <v>-1078</v>
      </c>
      <c r="E5" s="16">
        <f>B5+E4</f>
        <v>-2423</v>
      </c>
      <c r="F5" s="16">
        <f>C5+F4</f>
        <v>-354</v>
      </c>
      <c r="G5" s="16">
        <f>D5+G4</f>
        <v>-2777</v>
      </c>
      <c r="H5" s="19"/>
    </row>
    <row r="6" ht="20.05" customHeight="1">
      <c r="A6" s="27">
        <f>1+$A5</f>
        <v>2012</v>
      </c>
      <c r="B6" s="15">
        <f>-328+12-C6</f>
        <v>175</v>
      </c>
      <c r="C6" s="16">
        <v>-491</v>
      </c>
      <c r="D6" s="16">
        <f>B6+C6</f>
        <v>-316</v>
      </c>
      <c r="E6" s="16">
        <f>B6+E5</f>
        <v>-2248</v>
      </c>
      <c r="F6" s="16">
        <f>C6+F5</f>
        <v>-845</v>
      </c>
      <c r="G6" s="16">
        <f>D6+G5</f>
        <v>-3093</v>
      </c>
      <c r="H6" s="19"/>
    </row>
    <row r="7" ht="20.05" customHeight="1">
      <c r="A7" s="27">
        <f>1+$A6</f>
        <v>2013</v>
      </c>
      <c r="B7" s="15">
        <f>619+41-C7</f>
        <v>1311</v>
      </c>
      <c r="C7" s="16">
        <v>-651</v>
      </c>
      <c r="D7" s="16">
        <f>B7+C7</f>
        <v>660</v>
      </c>
      <c r="E7" s="16">
        <f>B7+E6</f>
        <v>-937</v>
      </c>
      <c r="F7" s="16">
        <f>C7+F6</f>
        <v>-1496</v>
      </c>
      <c r="G7" s="16">
        <f>D7+G6</f>
        <v>-2433</v>
      </c>
      <c r="H7" s="19"/>
    </row>
    <row r="8" ht="20.05" customHeight="1">
      <c r="A8" s="27">
        <f>1+$A7</f>
        <v>2014</v>
      </c>
      <c r="B8" s="15">
        <f>965+45-C8</f>
        <v>1677</v>
      </c>
      <c r="C8" s="16">
        <v>-667</v>
      </c>
      <c r="D8" s="16">
        <f>B8+C8</f>
        <v>1010</v>
      </c>
      <c r="E8" s="16">
        <f>B8+E7</f>
        <v>740</v>
      </c>
      <c r="F8" s="16">
        <f>C8+F7</f>
        <v>-2163</v>
      </c>
      <c r="G8" s="16">
        <f>D8+G7</f>
        <v>-1423</v>
      </c>
      <c r="H8" s="19"/>
    </row>
    <row r="9" ht="20.05" customHeight="1">
      <c r="A9" s="27">
        <f>1+$A8</f>
        <v>2015</v>
      </c>
      <c r="B9" s="15">
        <f>423+42-C9</f>
        <v>702</v>
      </c>
      <c r="C9" s="16">
        <v>-237</v>
      </c>
      <c r="D9" s="16">
        <f>B9+C9</f>
        <v>465</v>
      </c>
      <c r="E9" s="16">
        <f>B9+E8</f>
        <v>1442</v>
      </c>
      <c r="F9" s="16">
        <f>C9+F8</f>
        <v>-2400</v>
      </c>
      <c r="G9" s="16">
        <f>D9+G8</f>
        <v>-958</v>
      </c>
      <c r="H9" s="19"/>
    </row>
    <row r="10" ht="20.05" customHeight="1">
      <c r="A10" s="27">
        <f>1+$A9</f>
        <v>2016</v>
      </c>
      <c r="B10" s="15">
        <f>1131+7-C10</f>
        <v>1240</v>
      </c>
      <c r="C10" s="16">
        <v>-102</v>
      </c>
      <c r="D10" s="16">
        <f>B10+C10</f>
        <v>1138</v>
      </c>
      <c r="E10" s="16">
        <f>B10+E9</f>
        <v>2682</v>
      </c>
      <c r="F10" s="16">
        <f>C10+F9</f>
        <v>-2502</v>
      </c>
      <c r="G10" s="16">
        <f>D10+G9</f>
        <v>180</v>
      </c>
      <c r="H10" s="19"/>
    </row>
    <row r="11" ht="20.05" customHeight="1">
      <c r="A11" s="27">
        <f>1+$A10</f>
        <v>2017</v>
      </c>
      <c r="B11" s="15">
        <f>-292+20</f>
        <v>-272</v>
      </c>
      <c r="C11" s="16"/>
      <c r="D11" s="16">
        <f>B11+C11</f>
        <v>-272</v>
      </c>
      <c r="E11" s="16">
        <f>B11+E10</f>
        <v>2410</v>
      </c>
      <c r="F11" s="16">
        <f>C11+F10</f>
        <v>-2502</v>
      </c>
      <c r="G11" s="16">
        <f>D11+G10</f>
        <v>-92</v>
      </c>
      <c r="H11" s="19"/>
    </row>
    <row r="12" ht="20.05" customHeight="1">
      <c r="A12" s="27">
        <f>1+$A11</f>
        <v>2018</v>
      </c>
      <c r="B12" s="15">
        <f>-177+15</f>
        <v>-162</v>
      </c>
      <c r="C12" s="16"/>
      <c r="D12" s="16">
        <f>B12+C12</f>
        <v>-162</v>
      </c>
      <c r="E12" s="16">
        <f>B12+E11</f>
        <v>2248</v>
      </c>
      <c r="F12" s="16">
        <f>C12+F11</f>
        <v>-2502</v>
      </c>
      <c r="G12" s="16">
        <f>D12+G11</f>
        <v>-254</v>
      </c>
      <c r="H12" s="19"/>
    </row>
    <row r="13" ht="20.05" customHeight="1">
      <c r="A13" s="27">
        <f>1+$A12</f>
        <v>2019</v>
      </c>
      <c r="B13" s="15">
        <v>376</v>
      </c>
      <c r="C13" s="16"/>
      <c r="D13" s="16">
        <f>B13+C13</f>
        <v>376</v>
      </c>
      <c r="E13" s="16">
        <f>B13+E12</f>
        <v>2624</v>
      </c>
      <c r="F13" s="16">
        <f>C13+F12</f>
        <v>-2502</v>
      </c>
      <c r="G13" s="16">
        <f>D13+G12</f>
        <v>122</v>
      </c>
      <c r="H13" s="41">
        <f>AVERAGE(D3:D15)</f>
        <v>-103.346153846154</v>
      </c>
    </row>
    <row r="14" ht="20.05" customHeight="1">
      <c r="A14" s="27">
        <f>1+$A13</f>
        <v>2020</v>
      </c>
      <c r="B14" s="15">
        <f>-511+163</f>
        <v>-348</v>
      </c>
      <c r="C14" s="16">
        <v>-28</v>
      </c>
      <c r="D14" s="16">
        <f>B14+C14</f>
        <v>-376</v>
      </c>
      <c r="E14" s="16">
        <f>B14+E13</f>
        <v>2276</v>
      </c>
      <c r="F14" s="16">
        <f>C14+F13</f>
        <v>-2530</v>
      </c>
      <c r="G14" s="16">
        <f>D14+G13</f>
        <v>-254</v>
      </c>
      <c r="H14" s="41">
        <f>AVERAGE(D11:D15)</f>
        <v>-304.7</v>
      </c>
    </row>
    <row r="15" ht="20.05" customHeight="1">
      <c r="A15" s="27">
        <f>1+$A14</f>
        <v>2021</v>
      </c>
      <c r="B15" s="15">
        <f>SUM('Cashflow '!G24:G27)</f>
        <v>-4000</v>
      </c>
      <c r="C15" s="16">
        <f>SUM('Cashflow '!H24:H27)</f>
        <v>2910.5</v>
      </c>
      <c r="D15" s="16">
        <f>B15+C15</f>
        <v>-1089.5</v>
      </c>
      <c r="E15" s="16">
        <f>B15+E14</f>
        <v>-1724</v>
      </c>
      <c r="F15" s="16">
        <f>C15+F14</f>
        <v>380.5</v>
      </c>
      <c r="G15" s="16">
        <f>D15+G14</f>
        <v>-1343.5</v>
      </c>
      <c r="H15" s="41">
        <f>D15</f>
        <v>-1089.5</v>
      </c>
    </row>
    <row r="17" ht="27.65" customHeight="1">
      <c r="I17" t="s" s="2">
        <v>60</v>
      </c>
      <c r="J17" s="2"/>
      <c r="K17" s="2"/>
      <c r="L17" s="2"/>
      <c r="M17" s="2"/>
      <c r="N17" s="2"/>
      <c r="O17" s="2"/>
      <c r="P17" s="2"/>
      <c r="Q17" s="2"/>
    </row>
    <row r="18" ht="20.25" customHeight="1">
      <c r="I18" s="4"/>
      <c r="J18" s="4"/>
      <c r="K18" s="4"/>
      <c r="L18" s="4"/>
      <c r="M18" s="4"/>
      <c r="N18" s="4"/>
      <c r="O18" s="4"/>
      <c r="P18" s="4"/>
      <c r="Q18" s="4"/>
    </row>
    <row r="19" ht="32.25" customHeight="1">
      <c r="I19" s="43"/>
      <c r="J19" t="s" s="44">
        <v>56</v>
      </c>
      <c r="K19" t="s" s="45">
        <v>61</v>
      </c>
      <c r="L19" s="8"/>
      <c r="M19" s="8"/>
      <c r="N19" s="8"/>
      <c r="O19" s="8"/>
      <c r="P19" s="8"/>
      <c r="Q19" s="8"/>
    </row>
    <row r="20" ht="20.05" customHeight="1">
      <c r="I20" s="26"/>
      <c r="J20" s="46">
        <v>44593</v>
      </c>
      <c r="K20" s="41">
        <v>23</v>
      </c>
      <c r="L20" s="41">
        <v>2022</v>
      </c>
      <c r="M20" s="19"/>
      <c r="N20" s="19"/>
      <c r="O20" s="19"/>
      <c r="P20" s="19"/>
      <c r="Q20" s="19"/>
    </row>
    <row r="21" ht="20.05" customHeight="1">
      <c r="I21" s="26"/>
      <c r="J21" t="s" s="47">
        <v>62</v>
      </c>
      <c r="K21" s="41">
        <f>$A3</f>
        <v>2009</v>
      </c>
      <c r="L21" s="19"/>
      <c r="M21" s="19"/>
      <c r="N21" s="19"/>
      <c r="O21" s="19"/>
      <c r="P21" s="19"/>
      <c r="Q21" s="19"/>
    </row>
    <row r="22" ht="32.05" customHeight="1">
      <c r="I22" s="26"/>
      <c r="J22" t="s" s="47">
        <v>63</v>
      </c>
      <c r="K22" s="41">
        <f>(2022-K21)*4</f>
        <v>52</v>
      </c>
      <c r="L22" s="19"/>
      <c r="M22" s="19"/>
      <c r="N22" s="19"/>
      <c r="O22" s="19"/>
      <c r="P22" s="19"/>
      <c r="Q22" s="19"/>
    </row>
    <row r="23" ht="20.05" customHeight="1">
      <c r="I23" s="26"/>
      <c r="J23" t="s" s="47">
        <v>12</v>
      </c>
      <c r="K23" s="41">
        <f>P27</f>
        <v>-1724</v>
      </c>
      <c r="L23" t="s" s="48">
        <f>P24</f>
        <v>64</v>
      </c>
      <c r="M23" t="s" s="48">
        <f>IF(K23&gt;0,"raised","paid")</f>
        <v>65</v>
      </c>
      <c r="N23" s="19"/>
      <c r="O23" s="19"/>
      <c r="P23" s="19"/>
      <c r="Q23" s="19"/>
    </row>
    <row r="24" ht="32.05" customHeight="1">
      <c r="I24" s="26"/>
      <c r="J24" t="s" s="47">
        <f>J19</f>
        <v>56</v>
      </c>
      <c r="K24" t="s" s="48">
        <v>66</v>
      </c>
      <c r="L24" t="s" s="48">
        <f>IF(O24&gt;0,"raised","paid")</f>
        <v>65</v>
      </c>
      <c r="M24" t="s" s="48">
        <v>67</v>
      </c>
      <c r="N24" t="s" s="48">
        <v>68</v>
      </c>
      <c r="O24" s="41">
        <f>AVERAGE(B3:B15)</f>
        <v>-132.615384615385</v>
      </c>
      <c r="P24" t="s" s="48">
        <v>64</v>
      </c>
      <c r="Q24" t="s" s="48">
        <v>69</v>
      </c>
    </row>
    <row r="25" ht="32.05" customHeight="1">
      <c r="I25" s="26"/>
      <c r="J25" t="s" s="47">
        <v>70</v>
      </c>
      <c r="K25" t="s" s="48">
        <f>M24</f>
        <v>67</v>
      </c>
      <c r="L25" t="s" s="48">
        <v>71</v>
      </c>
      <c r="M25" t="s" s="48">
        <f>IF(O25&gt;0,"raised","paid")</f>
        <v>65</v>
      </c>
      <c r="N25" t="s" s="48">
        <v>68</v>
      </c>
      <c r="O25" s="41">
        <f>AVERAGE(B11:B15)</f>
        <v>-881.2</v>
      </c>
      <c r="P25" t="s" s="48">
        <v>64</v>
      </c>
      <c r="Q25" t="s" s="48">
        <v>69</v>
      </c>
    </row>
    <row r="26" ht="44.05" customHeight="1">
      <c r="I26" s="26"/>
      <c r="J26" t="s" s="47">
        <v>72</v>
      </c>
      <c r="K26" t="s" s="48">
        <v>73</v>
      </c>
      <c r="L26" s="41">
        <f>MAX(E3:E15)</f>
        <v>2682</v>
      </c>
      <c r="M26" t="s" s="48">
        <f>P25</f>
        <v>64</v>
      </c>
      <c r="N26" t="s" s="48">
        <v>74</v>
      </c>
      <c r="O26" s="41">
        <f>$A10</f>
        <v>2016</v>
      </c>
      <c r="P26" s="19"/>
      <c r="Q26" s="19"/>
    </row>
    <row r="27" ht="32.05" customHeight="1">
      <c r="I27" s="26"/>
      <c r="J27" t="s" s="47">
        <v>75</v>
      </c>
      <c r="K27" t="s" s="48">
        <f>K25</f>
        <v>67</v>
      </c>
      <c r="L27" t="s" s="48">
        <v>76</v>
      </c>
      <c r="M27" t="s" s="48">
        <v>77</v>
      </c>
      <c r="N27" t="s" s="48">
        <f>IF(P27&lt;L26,"down","up")</f>
        <v>78</v>
      </c>
      <c r="O27" t="s" s="48">
        <v>79</v>
      </c>
      <c r="P27" s="41">
        <f>E15</f>
        <v>-1724</v>
      </c>
      <c r="Q27" t="s" s="48">
        <f>P25</f>
        <v>64</v>
      </c>
    </row>
    <row r="28" ht="20.05" customHeight="1">
      <c r="I28" s="26"/>
      <c r="J28" t="s" s="47">
        <v>15</v>
      </c>
      <c r="K28" s="41">
        <f>P32</f>
        <v>380.5</v>
      </c>
      <c r="L28" t="s" s="48">
        <f>Q27</f>
        <v>64</v>
      </c>
      <c r="M28" t="s" s="48">
        <f>IF(K28&gt;0,"raised","paid")</f>
        <v>80</v>
      </c>
      <c r="N28" s="19"/>
      <c r="O28" s="19"/>
      <c r="P28" s="19"/>
      <c r="Q28" s="19"/>
    </row>
    <row r="29" ht="32.05" customHeight="1">
      <c r="I29" s="26"/>
      <c r="J29" t="s" s="47">
        <f>J24</f>
        <v>56</v>
      </c>
      <c r="K29" t="s" s="48">
        <v>66</v>
      </c>
      <c r="L29" t="s" s="48">
        <f>IF(O29&gt;0,"raised","paid")</f>
        <v>80</v>
      </c>
      <c r="M29" t="s" s="48">
        <v>81</v>
      </c>
      <c r="N29" t="s" s="48">
        <f>N24</f>
        <v>68</v>
      </c>
      <c r="O29" s="41">
        <f>SUM(C3:C15)/13</f>
        <v>29.2692307692308</v>
      </c>
      <c r="P29" t="s" s="48">
        <f>P24</f>
        <v>64</v>
      </c>
      <c r="Q29" t="s" s="48">
        <f>Q24</f>
        <v>69</v>
      </c>
    </row>
    <row r="30" ht="32.05" customHeight="1">
      <c r="I30" s="26"/>
      <c r="J30" t="s" s="47">
        <v>70</v>
      </c>
      <c r="K30" t="s" s="48">
        <f>M29</f>
        <v>81</v>
      </c>
      <c r="L30" t="s" s="48">
        <v>82</v>
      </c>
      <c r="M30" t="s" s="48">
        <f>IF(O30&gt;0,"raised","paid")</f>
        <v>80</v>
      </c>
      <c r="N30" t="s" s="48">
        <v>68</v>
      </c>
      <c r="O30" s="41">
        <f>SUM(C11:C15)/5</f>
        <v>576.5</v>
      </c>
      <c r="P30" t="s" s="48">
        <v>64</v>
      </c>
      <c r="Q30" t="s" s="48">
        <v>69</v>
      </c>
    </row>
    <row r="31" ht="44.05" customHeight="1">
      <c r="I31" s="26"/>
      <c r="J31" t="s" s="47">
        <v>83</v>
      </c>
      <c r="K31" t="s" s="48">
        <v>73</v>
      </c>
      <c r="L31" s="41">
        <f>MIN(F3:F15)</f>
        <v>-2530</v>
      </c>
      <c r="M31" t="s" s="48">
        <f>P30</f>
        <v>64</v>
      </c>
      <c r="N31" t="s" s="48">
        <v>74</v>
      </c>
      <c r="O31" s="41">
        <f>$A14</f>
        <v>2020</v>
      </c>
      <c r="P31" s="19"/>
      <c r="Q31" s="19"/>
    </row>
    <row r="32" ht="32.05" customHeight="1">
      <c r="I32" s="26"/>
      <c r="J32" t="s" s="47">
        <v>75</v>
      </c>
      <c r="K32" t="s" s="48">
        <f>K30</f>
        <v>81</v>
      </c>
      <c r="L32" t="s" s="48">
        <v>76</v>
      </c>
      <c r="M32" t="s" s="48">
        <v>84</v>
      </c>
      <c r="N32" t="s" s="48">
        <f>IF(P32&lt;L31,"down","up")</f>
        <v>85</v>
      </c>
      <c r="O32" t="s" s="48">
        <v>79</v>
      </c>
      <c r="P32" s="41">
        <f>F15</f>
        <v>380.5</v>
      </c>
      <c r="Q32" t="s" s="48">
        <f>P30</f>
        <v>64</v>
      </c>
    </row>
    <row r="33" ht="20.05" customHeight="1">
      <c r="I33" s="26"/>
      <c r="J33" t="s" s="47">
        <v>86</v>
      </c>
      <c r="K33" s="41">
        <f>P37</f>
        <v>-1343.5</v>
      </c>
      <c r="L33" t="s" s="48">
        <f>Q32</f>
        <v>64</v>
      </c>
      <c r="M33" t="s" s="48">
        <f>IF(K33&gt;0,"raised","paid")</f>
        <v>65</v>
      </c>
      <c r="N33" s="19"/>
      <c r="O33" s="19"/>
      <c r="P33" s="19"/>
      <c r="Q33" s="19"/>
    </row>
    <row r="34" ht="32.05" customHeight="1">
      <c r="I34" s="26"/>
      <c r="J34" t="s" s="47">
        <f>J29</f>
        <v>56</v>
      </c>
      <c r="K34" t="s" s="48">
        <v>66</v>
      </c>
      <c r="L34" t="s" s="48">
        <f>IF(O34&gt;0,"raised","paid")</f>
        <v>65</v>
      </c>
      <c r="M34" t="s" s="48">
        <v>87</v>
      </c>
      <c r="N34" t="s" s="48">
        <f>N29</f>
        <v>68</v>
      </c>
      <c r="O34" s="41">
        <f>AVERAGE(D3:D15)</f>
        <v>-103.346153846154</v>
      </c>
      <c r="P34" t="s" s="48">
        <f>P29</f>
        <v>64</v>
      </c>
      <c r="Q34" t="s" s="48">
        <f>Q29</f>
        <v>69</v>
      </c>
    </row>
    <row r="35" ht="32.05" customHeight="1">
      <c r="I35" s="26"/>
      <c r="J35" t="s" s="47">
        <v>70</v>
      </c>
      <c r="K35" t="s" s="48">
        <f>M34</f>
        <v>87</v>
      </c>
      <c r="L35" t="s" s="48">
        <v>82</v>
      </c>
      <c r="M35" t="s" s="48">
        <f>IF(O35&gt;0,"raised","paid")</f>
        <v>65</v>
      </c>
      <c r="N35" t="s" s="48">
        <v>68</v>
      </c>
      <c r="O35" s="41">
        <f>AVERAGE(D11:D15)</f>
        <v>-304.7</v>
      </c>
      <c r="P35" t="s" s="48">
        <v>64</v>
      </c>
      <c r="Q35" t="s" s="48">
        <v>69</v>
      </c>
    </row>
    <row r="36" ht="44.05" customHeight="1">
      <c r="I36" s="26"/>
      <c r="J36" t="s" s="47">
        <v>88</v>
      </c>
      <c r="K36" t="s" s="48">
        <v>73</v>
      </c>
      <c r="L36" s="41">
        <f>MAX(G3:G15)</f>
        <v>180</v>
      </c>
      <c r="M36" t="s" s="48">
        <f>P35</f>
        <v>64</v>
      </c>
      <c r="N36" t="s" s="48">
        <v>74</v>
      </c>
      <c r="O36" s="41">
        <f>$A10</f>
        <v>2016</v>
      </c>
      <c r="P36" s="19"/>
      <c r="Q36" s="19"/>
    </row>
    <row r="37" ht="32.05" customHeight="1">
      <c r="I37" s="26"/>
      <c r="J37" t="s" s="47">
        <v>75</v>
      </c>
      <c r="K37" t="s" s="48">
        <f>K35</f>
        <v>87</v>
      </c>
      <c r="L37" t="s" s="48">
        <v>76</v>
      </c>
      <c r="M37" t="s" s="48">
        <v>84</v>
      </c>
      <c r="N37" t="s" s="48">
        <f>IF(P37&lt;L36,"down","up")</f>
        <v>78</v>
      </c>
      <c r="O37" t="s" s="48">
        <v>79</v>
      </c>
      <c r="P37" s="41">
        <f>G15</f>
        <v>-1343.5</v>
      </c>
      <c r="Q37" t="s" s="48">
        <f>P35</f>
        <v>64</v>
      </c>
    </row>
  </sheetData>
  <mergeCells count="2">
    <mergeCell ref="A1:H1"/>
    <mergeCell ref="I17:Q17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