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 " sheetId="1" r:id="rId4"/>
    <sheet name="Sales" sheetId="2" r:id="rId5"/>
    <sheet name="Cashflow 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<sst xmlns="http://schemas.openxmlformats.org/spreadsheetml/2006/main" uniqueCount="92">
  <si>
    <t>Financial model</t>
  </si>
  <si>
    <t>Rpbn</t>
  </si>
  <si>
    <t>4Q 2022</t>
  </si>
  <si>
    <t xml:space="preserve">Cashflow </t>
  </si>
  <si>
    <t>Growth</t>
  </si>
  <si>
    <t>Sales</t>
  </si>
  <si>
    <t>Cost ratio</t>
  </si>
  <si>
    <t xml:space="preserve">Cash costs 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</si>
  <si>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</si>
  <si>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</si>
  <si>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</si>
  <si>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</si>
  <si>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</si>
  <si>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</si>
  <si>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</si>
  <si>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</si>
  <si>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</si>
  <si>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</si>
  <si>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 xml:space="preserve">Change </t>
  </si>
  <si>
    <t>Ending</t>
  </si>
  <si>
    <t>Profit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</si>
  <si>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</si>
  <si>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</si>
  <si>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</si>
  <si>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</si>
  <si>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</si>
  <si>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</si>
  <si>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</si>
  <si>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</si>
  <si>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</si>
  <si>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</si>
  <si>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</si>
  <si>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</si>
  <si>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</si>
  <si>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</si>
  <si>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</si>
  <si>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</si>
  <si>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</si>
  <si>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</si>
  <si>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</si>
  <si>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</si>
  <si>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</si>
  <si>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</si>
  <si>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Profit quarterly</t>
  </si>
  <si>
    <t xml:space="preserve">Sales growth </t>
  </si>
  <si>
    <t xml:space="preserve">Cost ratio </t>
  </si>
  <si>
    <t>Cash flow quarterly</t>
  </si>
  <si>
    <t>Receipts</t>
  </si>
  <si>
    <t xml:space="preserve">Investing </t>
  </si>
  <si>
    <t>Interest</t>
  </si>
  <si>
    <t xml:space="preserve">Leases </t>
  </si>
  <si>
    <t xml:space="preserve">Equity </t>
  </si>
  <si>
    <t>Finance</t>
  </si>
  <si>
    <t xml:space="preserve">Free cashflow </t>
  </si>
  <si>
    <t>Capital</t>
  </si>
  <si>
    <t>Balance sheet</t>
  </si>
  <si>
    <t>Cash</t>
  </si>
  <si>
    <t>Assets</t>
  </si>
  <si>
    <t>Other assets</t>
  </si>
  <si>
    <t>Net cash</t>
  </si>
  <si>
    <t>Share price</t>
  </si>
  <si>
    <t>SMBR</t>
  </si>
  <si>
    <t xml:space="preserve">Previous </t>
  </si>
  <si>
    <t xml:space="preserve">Total </t>
  </si>
  <si>
    <t>Table 1</t>
  </si>
  <si>
    <t xml:space="preserve">capital history </t>
  </si>
  <si>
    <t xml:space="preserve">Start date </t>
  </si>
  <si>
    <t xml:space="preserve">Number of quarters 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</si>
  <si>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</si>
  <si>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</si>
  <si>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</si>
  <si>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</si>
  <si>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</si>
  <si>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</si>
  <si>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</si>
  <si>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</si>
  <si>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</si>
  <si>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</si>
  <si>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</si>
  <si>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</si>
  <si>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</si>
  <si>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</si>
  <si>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up</t>
  </si>
  <si>
    <t>to</t>
  </si>
  <si>
    <t xml:space="preserve">equity </t>
  </si>
  <si>
    <t>was</t>
  </si>
  <si>
    <t xml:space="preserve">The peak in cumulative equity </t>
  </si>
  <si>
    <t>is</t>
  </si>
  <si>
    <t>down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</si>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</sst>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mmmm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9" fontId="0" borderId="5" applyNumberFormat="1" applyFont="1" applyFill="0" applyBorder="1" applyAlignment="1" applyProtection="0">
      <alignment vertical="top" wrapText="1"/>
    </xf>
    <xf numFmtId="49" fontId="0" fillId="3" borderId="6" applyNumberFormat="1" applyFont="1" applyFill="1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9" fontId="0" borderId="8" applyNumberFormat="1" applyFont="1" applyFill="0" applyBorder="1" applyAlignment="1" applyProtection="0">
      <alignment vertical="top" wrapText="1"/>
    </xf>
    <xf numFmtId="9" fontId="0" borderId="9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8" fontId="0" borderId="8" applyNumberFormat="1" applyFont="1" applyFill="0" applyBorder="1" applyAlignment="1" applyProtection="0">
      <alignment vertical="top" wrapText="1"/>
    </xf>
    <xf numFmtId="38" fontId="0" borderId="9" applyNumberFormat="1" applyFont="1" applyFill="0" applyBorder="1" applyAlignment="1" applyProtection="0">
      <alignment vertical="top" wrapText="1"/>
    </xf>
    <xf numFmtId="40" fontId="0" borderId="7" applyNumberFormat="1" applyFont="1" applyFill="0" applyBorder="1" applyAlignment="1" applyProtection="0">
      <alignment vertical="top" wrapText="1"/>
    </xf>
    <xf numFmtId="59" fontId="0" borderId="8" applyNumberFormat="1" applyFont="1" applyFill="0" applyBorder="1" applyAlignment="1" applyProtection="0">
      <alignment vertical="top" wrapText="1"/>
    </xf>
    <xf numFmtId="59" fontId="0" borderId="9" applyNumberFormat="1" applyFont="1" applyFill="0" applyBorder="1" applyAlignment="1" applyProtection="0">
      <alignment vertical="top" wrapText="1"/>
    </xf>
    <xf numFmtId="3" fontId="0" borderId="8" applyNumberFormat="1" applyFont="1" applyFill="0" applyBorder="1" applyAlignment="1" applyProtection="0">
      <alignment vertical="top" wrapText="1"/>
    </xf>
    <xf numFmtId="3" fontId="0" borderId="9" applyNumberFormat="1" applyFont="1" applyFill="0" applyBorder="1" applyAlignment="1" applyProtection="0">
      <alignment vertical="top" wrapText="1"/>
    </xf>
    <xf numFmtId="60" fontId="0" borderId="8" applyNumberFormat="1" applyFont="1" applyFill="0" applyBorder="1" applyAlignment="1" applyProtection="0">
      <alignment vertical="top" wrapText="1"/>
    </xf>
    <xf numFmtId="49" fontId="2" fillId="3" borderId="6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8" applyNumberFormat="1" applyFont="1" applyFill="0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" fontId="0" borderId="9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3" fontId="0" borderId="5" applyNumberFormat="1" applyFont="1" applyFill="0" applyBorder="1" applyAlignment="1" applyProtection="0">
      <alignment vertical="top" wrapText="1"/>
    </xf>
    <xf numFmtId="59" fontId="0" borderId="5" applyNumberFormat="1" applyFont="1" applyFill="0" applyBorder="1" applyAlignment="1" applyProtection="0">
      <alignment vertical="top" wrapText="1"/>
    </xf>
    <xf numFmtId="0" fontId="2" fillId="4" borderId="6" applyNumberFormat="0" applyFont="1" applyFill="1" applyBorder="1" applyAlignment="1" applyProtection="0">
      <alignment vertical="top" wrapText="1"/>
    </xf>
    <xf numFmtId="0" fontId="2" fillId="4" borderId="6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9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61" fontId="0" borderId="8" applyNumberFormat="1" applyFont="1" applyFill="0" applyBorder="1" applyAlignment="1" applyProtection="0">
      <alignment vertical="top" wrapText="1"/>
    </xf>
    <xf numFmtId="49" fontId="0" borderId="8" applyNumberFormat="1" applyFont="1" applyFill="0" applyBorder="1" applyAlignment="1" applyProtection="0">
      <alignment vertical="top" wrapText="1"/>
    </xf>
    <xf numFmtId="49" fontId="0" borderId="9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34351"/>
          <c:y val="0.0446026"/>
          <c:w val="0.856898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'Capital'!$A$13:$A$24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'Capital'!$E$13:$E$24</c:f>
              <c:numCache>
                <c:ptCount val="12"/>
                <c:pt idx="0">
                  <c:v>-54.000000</c:v>
                </c:pt>
                <c:pt idx="1">
                  <c:v>-54.000000</c:v>
                </c:pt>
                <c:pt idx="2">
                  <c:v>-51.200000</c:v>
                </c:pt>
                <c:pt idx="3">
                  <c:v>-51.200000</c:v>
                </c:pt>
                <c:pt idx="4">
                  <c:v>-51.200000</c:v>
                </c:pt>
                <c:pt idx="5">
                  <c:v>-51.200000</c:v>
                </c:pt>
                <c:pt idx="6">
                  <c:v>590.800000</c:v>
                </c:pt>
                <c:pt idx="7">
                  <c:v>816.800000</c:v>
                </c:pt>
                <c:pt idx="8">
                  <c:v>1189.800000</c:v>
                </c:pt>
                <c:pt idx="9">
                  <c:v>1317.800000</c:v>
                </c:pt>
                <c:pt idx="10">
                  <c:v>1853.800000</c:v>
                </c:pt>
                <c:pt idx="11">
                  <c:v>1897.800000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'Capital'!$A$13:$A$24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'Capital'!$F$13:$F$24</c:f>
              <c:numCache>
                <c:ptCount val="12"/>
                <c:pt idx="0">
                  <c:v>-95.000000</c:v>
                </c:pt>
                <c:pt idx="1">
                  <c:v>-145.000000</c:v>
                </c:pt>
                <c:pt idx="2">
                  <c:v>-195.000000</c:v>
                </c:pt>
                <c:pt idx="3">
                  <c:v>1031.000000</c:v>
                </c:pt>
                <c:pt idx="4">
                  <c:v>953.000000</c:v>
                </c:pt>
                <c:pt idx="5">
                  <c:v>871.000000</c:v>
                </c:pt>
                <c:pt idx="6">
                  <c:v>782.000000</c:v>
                </c:pt>
                <c:pt idx="7">
                  <c:v>939.000000</c:v>
                </c:pt>
                <c:pt idx="8">
                  <c:v>926.000000</c:v>
                </c:pt>
                <c:pt idx="9">
                  <c:v>907.000000</c:v>
                </c:pt>
                <c:pt idx="10">
                  <c:v>901.000000</c:v>
                </c:pt>
                <c:pt idx="11">
                  <c:v>901.000000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'Capital'!$A$13:$A$24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'Capital'!$G$13:$G$24</c:f>
              <c:numCache>
                <c:ptCount val="12"/>
                <c:pt idx="0">
                  <c:v>-149.000000</c:v>
                </c:pt>
                <c:pt idx="1">
                  <c:v>-199.000000</c:v>
                </c:pt>
                <c:pt idx="2">
                  <c:v>-246.200000</c:v>
                </c:pt>
                <c:pt idx="3">
                  <c:v>979.800000</c:v>
                </c:pt>
                <c:pt idx="4">
                  <c:v>901.800000</c:v>
                </c:pt>
                <c:pt idx="5">
                  <c:v>819.800000</c:v>
                </c:pt>
                <c:pt idx="6">
                  <c:v>1372.800000</c:v>
                </c:pt>
                <c:pt idx="7">
                  <c:v>1755.800000</c:v>
                </c:pt>
                <c:pt idx="8">
                  <c:v>2115.800000</c:v>
                </c:pt>
                <c:pt idx="9">
                  <c:v>2224.800000</c:v>
                </c:pt>
                <c:pt idx="10">
                  <c:v>2754.800000</c:v>
                </c:pt>
                <c:pt idx="11">
                  <c:v>2798.800000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937.5"/>
        <c:minorUnit val="468.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84164"/>
          <c:y val="0.0569852"/>
          <c:w val="0.3968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286730</xdr:colOff>
      <xdr:row>1</xdr:row>
      <xdr:rowOff>256897</xdr:rowOff>
    </xdr:from>
    <xdr:to>
      <xdr:col>14</xdr:col>
      <xdr:colOff>1109539</xdr:colOff>
      <xdr:row>49</xdr:row>
      <xdr:rowOff>232277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41230" y="637897"/>
          <a:ext cx="9535010" cy="122994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266356</xdr:colOff>
      <xdr:row>28</xdr:row>
      <xdr:rowOff>155666</xdr:rowOff>
    </xdr:from>
    <xdr:to>
      <xdr:col>4</xdr:col>
      <xdr:colOff>142467</xdr:colOff>
      <xdr:row>37</xdr:row>
      <xdr:rowOff>286667</xdr:rowOff>
    </xdr:to>
    <xdr:graphicFrame>
      <xdr:nvGraphicFramePr>
        <xdr:cNvPr id="4" name="2D Line Chart"/>
        <xdr:cNvGraphicFramePr/>
      </xdr:nvGraphicFramePr>
      <xdr:xfrm>
        <a:off x="266356" y="7639141"/>
        <a:ext cx="3482912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143726</xdr:colOff>
      <xdr:row>25</xdr:row>
      <xdr:rowOff>333433</xdr:rowOff>
    </xdr:from>
    <xdr:to>
      <xdr:col>4</xdr:col>
      <xdr:colOff>265097</xdr:colOff>
      <xdr:row>29</xdr:row>
      <xdr:rowOff>43445</xdr:rowOff>
    </xdr:to>
    <xdr:sp>
      <xdr:nvSpPr>
        <xdr:cNvPr id="5" name="SMBR STILL RAISING CAPITAL IN 2021"/>
        <xdr:cNvSpPr txBox="1"/>
      </xdr:nvSpPr>
      <xdr:spPr>
        <a:xfrm>
          <a:off x="143726" y="6799003"/>
          <a:ext cx="3728172" cy="98255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SMBR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STILL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RAISING CAPITAL IN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71875" style="1" customWidth="1"/>
    <col min="2" max="2" width="14.5781" style="1" customWidth="1"/>
    <col min="3" max="3" hidden="1" width="16.3333" style="1" customWidth="1"/>
    <col min="4" max="7" width="8.6875" style="1" customWidth="1"/>
    <col min="8" max="16384" width="16.3516" style="1" customWidth="1"/>
  </cols>
  <sheetData>
    <row r="1" ht="30" customHeight="1"/>
    <row r="2" ht="27.65" customHeight="1">
      <c r="B2" t="s" s="2">
        <v>0</v>
      </c>
      <c r="C2" s="2"/>
      <c r="D2" s="2"/>
      <c r="E2" s="2"/>
      <c r="F2" s="2"/>
      <c r="G2" s="2"/>
    </row>
    <row r="3" ht="20.25" customHeight="1">
      <c r="B3" t="s" s="3">
        <v>1</v>
      </c>
      <c r="C3" s="4"/>
      <c r="D3" s="5"/>
      <c r="E3" s="4"/>
      <c r="F3" t="s" s="6">
        <v>2</v>
      </c>
      <c r="G3" s="4"/>
    </row>
    <row r="4" ht="20.25" customHeight="1">
      <c r="B4" t="s" s="7">
        <v>3</v>
      </c>
      <c r="C4" s="8"/>
      <c r="D4" s="9">
        <f>AVERAGE('Sales'!G29:G32)</f>
        <v>0.0278305151437513</v>
      </c>
      <c r="E4" s="10"/>
      <c r="F4" s="10"/>
      <c r="G4" s="11">
        <f>AVERAGE(D5:G5)</f>
        <v>0.08</v>
      </c>
    </row>
    <row r="5" ht="20.05" customHeight="1">
      <c r="B5" t="s" s="12">
        <v>4</v>
      </c>
      <c r="C5" s="13">
        <v>0.15</v>
      </c>
      <c r="D5" s="14">
        <v>-0.03</v>
      </c>
      <c r="E5" s="15">
        <v>0.17</v>
      </c>
      <c r="F5" s="15">
        <v>0.2</v>
      </c>
      <c r="G5" s="15">
        <v>-0.02</v>
      </c>
    </row>
    <row r="6" ht="20.05" customHeight="1">
      <c r="B6" t="s" s="12">
        <v>5</v>
      </c>
      <c r="C6" s="16">
        <f>'Sales'!C18*(1+C5)</f>
        <v>676.775</v>
      </c>
      <c r="D6" s="17">
        <f>'Sales'!C32*(1+D5)</f>
        <v>403.714</v>
      </c>
      <c r="E6" s="18">
        <f>D6*(1+E5)</f>
        <v>472.34538</v>
      </c>
      <c r="F6" s="18">
        <f>E6*(1+F5)</f>
        <v>566.814456</v>
      </c>
      <c r="G6" s="18">
        <f>F6*(1+G5)</f>
        <v>555.47816688</v>
      </c>
    </row>
    <row r="7" ht="20.05" customHeight="1">
      <c r="B7" t="s" s="12">
        <v>6</v>
      </c>
      <c r="C7" s="19">
        <v>0.8</v>
      </c>
      <c r="D7" s="20">
        <f>AVERAGE('Sales'!I32)</f>
        <v>-0.856647341096815</v>
      </c>
      <c r="E7" s="21">
        <f>D7</f>
        <v>-0.856647341096815</v>
      </c>
      <c r="F7" s="21">
        <f>E7</f>
        <v>-0.856647341096815</v>
      </c>
      <c r="G7" s="21">
        <f>F7</f>
        <v>-0.856647341096815</v>
      </c>
    </row>
    <row r="8" ht="20.05" customHeight="1">
      <c r="B8" t="s" s="12">
        <v>7</v>
      </c>
      <c r="C8" s="16">
        <f>-C7*C6</f>
        <v>-541.42</v>
      </c>
      <c r="D8" s="22">
        <f>D7*D6</f>
        <v>-345.840524663560</v>
      </c>
      <c r="E8" s="23">
        <f>E7*E6</f>
        <v>-404.633413856365</v>
      </c>
      <c r="F8" s="23">
        <f>F7*F6</f>
        <v>-485.560096627638</v>
      </c>
      <c r="G8" s="23">
        <f>G7*G6</f>
        <v>-475.848894695085</v>
      </c>
    </row>
    <row r="9" ht="20.05" customHeight="1">
      <c r="B9" t="s" s="12">
        <v>8</v>
      </c>
      <c r="C9" s="16">
        <f>C6+C8+#REF!+#REF!</f>
      </c>
      <c r="D9" s="22">
        <f>D6+D8</f>
        <v>57.873475336440</v>
      </c>
      <c r="E9" s="23">
        <f>E6+E8</f>
        <v>67.711966143635</v>
      </c>
      <c r="F9" s="23">
        <f>F6+F8</f>
        <v>81.254359372362</v>
      </c>
      <c r="G9" s="23">
        <f>G6+G8</f>
        <v>79.629272184915</v>
      </c>
    </row>
    <row r="10" ht="20.05" customHeight="1">
      <c r="B10" t="s" s="12">
        <v>9</v>
      </c>
      <c r="C10" s="16">
        <f>-#REF!+#REF!</f>
      </c>
      <c r="D10" s="22">
        <f>AVERAGE('Cashflow '!E28)</f>
        <v>-3.6</v>
      </c>
      <c r="E10" s="23">
        <f>D10</f>
        <v>-3.6</v>
      </c>
      <c r="F10" s="23">
        <f>E10</f>
        <v>-3.6</v>
      </c>
      <c r="G10" s="23">
        <f>F10</f>
        <v>-3.6</v>
      </c>
    </row>
    <row r="11" ht="20.05" customHeight="1">
      <c r="B11" t="s" s="12">
        <v>10</v>
      </c>
      <c r="C11" s="16"/>
      <c r="D11" s="22">
        <f>AVERAGE('Cashflow '!G28)</f>
        <v>-18.1</v>
      </c>
      <c r="E11" s="23">
        <f>D11</f>
        <v>-18.1</v>
      </c>
      <c r="F11" s="23">
        <f>E11</f>
        <v>-18.1</v>
      </c>
      <c r="G11" s="23">
        <f>F11</f>
        <v>-18.1</v>
      </c>
    </row>
    <row r="12" ht="20.05" customHeight="1">
      <c r="B12" t="s" s="12">
        <v>11</v>
      </c>
      <c r="C12" s="16">
        <f>C13+C16+C14</f>
      </c>
      <c r="D12" s="22">
        <f>D13+D16+D14</f>
        <v>-54.273475336440</v>
      </c>
      <c r="E12" s="23">
        <f>E13+E16+E14</f>
        <v>-64.111966143635</v>
      </c>
      <c r="F12" s="23">
        <f>F13+F16+F14</f>
        <v>-77.65435937236199</v>
      </c>
      <c r="G12" s="23">
        <f>G13+G16+G14</f>
        <v>-76.029272184915</v>
      </c>
    </row>
    <row r="13" ht="20.05" customHeight="1">
      <c r="B13" t="s" s="12">
        <v>12</v>
      </c>
      <c r="C13" s="16">
        <f>-#REF!/20</f>
      </c>
      <c r="D13" s="22">
        <f>-('Balance sheet'!G28)/20</f>
        <v>-119.5</v>
      </c>
      <c r="E13" s="23">
        <f>-D28/20</f>
        <v>-113.525</v>
      </c>
      <c r="F13" s="23">
        <f>-E28/20</f>
        <v>-107.84875</v>
      </c>
      <c r="G13" s="23">
        <f>-F28/20</f>
        <v>-102.4563125</v>
      </c>
    </row>
    <row r="14" ht="20.05" customHeight="1">
      <c r="B14" t="s" s="12">
        <v>13</v>
      </c>
      <c r="C14" s="16">
        <f>-MIN(0,C17)</f>
      </c>
      <c r="D14" s="22">
        <f>-MIN(0,D17)</f>
        <v>65.226524663560</v>
      </c>
      <c r="E14" s="23">
        <f>-MIN(D29,E17)</f>
        <v>49.413033856365</v>
      </c>
      <c r="F14" s="23">
        <f>-MIN(E29,F17)</f>
        <v>30.194390627638</v>
      </c>
      <c r="G14" s="23">
        <f>-MIN(F29,G17)</f>
        <v>26.427040315085</v>
      </c>
    </row>
    <row r="15" ht="20.05" customHeight="1">
      <c r="B15" t="s" s="12">
        <v>14</v>
      </c>
      <c r="C15" s="16"/>
      <c r="D15" s="24">
        <v>0</v>
      </c>
      <c r="E15" s="23"/>
      <c r="F15" s="23"/>
      <c r="G15" s="23"/>
    </row>
    <row r="16" ht="20.05" customHeight="1">
      <c r="B16" t="s" s="12">
        <v>15</v>
      </c>
      <c r="C16" s="16">
        <v>0</v>
      </c>
      <c r="D16" s="22">
        <f>IF(D23&gt;0,-D23*$D$15,0)</f>
        <v>0</v>
      </c>
      <c r="E16" s="23">
        <f>IF(E23&gt;0,-E23*$D$15,0)</f>
        <v>0</v>
      </c>
      <c r="F16" s="23">
        <f>IF(F23&gt;0,-F23*$D$15,0)</f>
        <v>0</v>
      </c>
      <c r="G16" s="23">
        <f>IF(G23&gt;0,-G23*$D$15,0)</f>
        <v>0</v>
      </c>
    </row>
    <row r="17" ht="20.05" customHeight="1">
      <c r="B17" t="s" s="12">
        <v>16</v>
      </c>
      <c r="C17" s="16">
        <f>C9+C10+C13+C16</f>
      </c>
      <c r="D17" s="22">
        <f>D9+D10+D13+D16</f>
        <v>-65.226524663560</v>
      </c>
      <c r="E17" s="23">
        <f>E9+E10+E13+E16</f>
        <v>-49.413033856365</v>
      </c>
      <c r="F17" s="23">
        <f>F9+F10+F13+F16</f>
        <v>-30.194390627638</v>
      </c>
      <c r="G17" s="23">
        <f>G9+G10+G13+G16</f>
        <v>-26.427040315085</v>
      </c>
    </row>
    <row r="18" ht="20.05" customHeight="1">
      <c r="B18" t="s" s="12">
        <v>17</v>
      </c>
      <c r="C18" s="16">
        <f>'Balance sheet'!C17</f>
        <v>173</v>
      </c>
      <c r="D18" s="22">
        <f>'Balance sheet'!C28</f>
        <v>536</v>
      </c>
      <c r="E18" s="23">
        <f>D20</f>
        <v>536</v>
      </c>
      <c r="F18" s="23">
        <f>E20</f>
        <v>536</v>
      </c>
      <c r="G18" s="23">
        <f>F20</f>
        <v>536</v>
      </c>
    </row>
    <row r="19" ht="20.05" customHeight="1">
      <c r="B19" t="s" s="12">
        <v>18</v>
      </c>
      <c r="C19" s="16">
        <f>C9+C10+C12</f>
      </c>
      <c r="D19" s="22">
        <f>D9+D10+D12</f>
        <v>0</v>
      </c>
      <c r="E19" s="23">
        <f>E9+E10+E12</f>
        <v>0</v>
      </c>
      <c r="F19" s="23">
        <f>F9+F10+F12</f>
        <v>0</v>
      </c>
      <c r="G19" s="23">
        <f>G9+G10+G12</f>
        <v>0</v>
      </c>
    </row>
    <row r="20" ht="20.05" customHeight="1">
      <c r="B20" t="s" s="12">
        <v>19</v>
      </c>
      <c r="C20" s="16">
        <f>C18+C19</f>
      </c>
      <c r="D20" s="22">
        <f>D18+D19</f>
        <v>536</v>
      </c>
      <c r="E20" s="23">
        <f>E18+E19</f>
        <v>536</v>
      </c>
      <c r="F20" s="23">
        <f>F18+F19</f>
        <v>536</v>
      </c>
      <c r="G20" s="23">
        <f>G18+G19</f>
        <v>536</v>
      </c>
    </row>
    <row r="21" ht="20.05" customHeight="1">
      <c r="B21" t="s" s="25">
        <v>20</v>
      </c>
      <c r="C21" s="26"/>
      <c r="D21" s="27"/>
      <c r="E21" s="28"/>
      <c r="F21" s="28"/>
      <c r="G21" s="29"/>
    </row>
    <row r="22" ht="20.05" customHeight="1">
      <c r="B22" t="s" s="12">
        <v>21</v>
      </c>
      <c r="C22" s="16">
        <v>-472</v>
      </c>
      <c r="D22" s="22">
        <f>-'Sales'!E32</f>
        <v>-50.4</v>
      </c>
      <c r="E22" s="23">
        <f>D22</f>
        <v>-50.4</v>
      </c>
      <c r="F22" s="23">
        <f>E22</f>
        <v>-50.4</v>
      </c>
      <c r="G22" s="23">
        <f>F22</f>
        <v>-50.4</v>
      </c>
    </row>
    <row r="23" ht="20.05" customHeight="1">
      <c r="B23" t="s" s="12">
        <v>22</v>
      </c>
      <c r="C23" s="16">
        <f>#REF!+#REF!</f>
      </c>
      <c r="D23" s="22">
        <f>D6+D8+D22</f>
        <v>7.473475336440</v>
      </c>
      <c r="E23" s="23">
        <f>E6+E8+E22</f>
        <v>17.311966143635</v>
      </c>
      <c r="F23" s="23">
        <f>F6+F8+F22</f>
        <v>30.854359372362</v>
      </c>
      <c r="G23" s="23">
        <f>G6+G8+G22</f>
        <v>29.229272184915</v>
      </c>
    </row>
    <row r="24" ht="20.05" customHeight="1">
      <c r="B24" t="s" s="25">
        <v>23</v>
      </c>
      <c r="C24" s="26"/>
      <c r="D24" s="27"/>
      <c r="E24" s="28"/>
      <c r="F24" s="28"/>
      <c r="G24" s="23"/>
    </row>
    <row r="25" ht="20.05" customHeight="1">
      <c r="B25" t="s" s="12">
        <v>24</v>
      </c>
      <c r="C25" s="16">
        <f>'Balance sheet'!E17</f>
        <v>5410</v>
      </c>
      <c r="D25" s="22">
        <f>'Balance sheet'!E28+'Balance sheet'!F28-D10</f>
        <v>7114.6</v>
      </c>
      <c r="E25" s="23">
        <f>D25-E10</f>
        <v>7118.2</v>
      </c>
      <c r="F25" s="23">
        <f>E25-F10</f>
        <v>7121.8</v>
      </c>
      <c r="G25" s="23">
        <f>F25-G10</f>
        <v>7125.4</v>
      </c>
    </row>
    <row r="26" ht="20.05" customHeight="1">
      <c r="B26" t="s" s="12">
        <v>25</v>
      </c>
      <c r="C26" s="16">
        <f>'Balance sheet'!F17-C22</f>
        <v>1688</v>
      </c>
      <c r="D26" s="22">
        <f>'Balance sheet'!F28-D22</f>
        <v>1830.4</v>
      </c>
      <c r="E26" s="23">
        <f>D26-E22</f>
        <v>1880.8</v>
      </c>
      <c r="F26" s="23">
        <f>E26-F22</f>
        <v>1931.2</v>
      </c>
      <c r="G26" s="23">
        <f>F26-G22</f>
        <v>1981.6</v>
      </c>
    </row>
    <row r="27" ht="20.05" customHeight="1">
      <c r="B27" t="s" s="12">
        <v>26</v>
      </c>
      <c r="C27" s="16">
        <f>#REF!-C26</f>
      </c>
      <c r="D27" s="22">
        <f>D25-D26</f>
        <v>5284.2</v>
      </c>
      <c r="E27" s="23">
        <f>E25-E26</f>
        <v>5237.4</v>
      </c>
      <c r="F27" s="23">
        <f>F25-F26</f>
        <v>5190.6</v>
      </c>
      <c r="G27" s="23">
        <f>G25-G26</f>
        <v>5143.8</v>
      </c>
    </row>
    <row r="28" ht="20.05" customHeight="1">
      <c r="B28" t="s" s="12">
        <v>12</v>
      </c>
      <c r="C28" s="16">
        <f>#REF!+C13</f>
      </c>
      <c r="D28" s="22">
        <f>'Balance sheet'!G28+D13</f>
        <v>2270.5</v>
      </c>
      <c r="E28" s="23">
        <f>D28+E13</f>
        <v>2156.975</v>
      </c>
      <c r="F28" s="23">
        <f>E28+F13</f>
        <v>2049.12625</v>
      </c>
      <c r="G28" s="23">
        <f>F28+G13</f>
        <v>1946.6699375</v>
      </c>
    </row>
    <row r="29" ht="20.05" customHeight="1">
      <c r="B29" t="s" s="12">
        <v>13</v>
      </c>
      <c r="C29" s="16">
        <f>C14</f>
      </c>
      <c r="D29" s="22">
        <f>D14</f>
        <v>65.226524663560</v>
      </c>
      <c r="E29" s="23">
        <f>D29+E14</f>
        <v>114.639558519925</v>
      </c>
      <c r="F29" s="23">
        <f>E29+F14</f>
        <v>144.833949147563</v>
      </c>
      <c r="G29" s="23">
        <f>F29+G14</f>
        <v>171.260989462648</v>
      </c>
    </row>
    <row r="30" ht="20.05" customHeight="1">
      <c r="B30" t="s" s="12">
        <v>15</v>
      </c>
      <c r="C30" s="16">
        <f>#REF!+C23+C16</f>
      </c>
      <c r="D30" s="22">
        <f>'Balance sheet'!H28+D23+D16</f>
        <v>3484.473475336440</v>
      </c>
      <c r="E30" s="23">
        <f>D30+E23+E16</f>
        <v>3501.785441480080</v>
      </c>
      <c r="F30" s="23">
        <f>E30+F23+F16</f>
        <v>3532.639800852440</v>
      </c>
      <c r="G30" s="23">
        <f>F30+G23+G16</f>
        <v>3561.869073037360</v>
      </c>
    </row>
    <row r="31" ht="20.05" customHeight="1">
      <c r="B31" t="s" s="12">
        <v>27</v>
      </c>
      <c r="C31" s="16">
        <f>#REF!-#REF!</f>
      </c>
      <c r="D31" s="22">
        <f>D28+D29+D30-D20-D27</f>
        <v>0</v>
      </c>
      <c r="E31" s="23">
        <f>E28+E29+E30-E20-E27</f>
        <v>5e-12</v>
      </c>
      <c r="F31" s="23">
        <f>F28+F29+F30-F20-F27</f>
        <v>3e-12</v>
      </c>
      <c r="G31" s="23">
        <f>G28+G29+G30-G20-G27</f>
        <v>8e-12</v>
      </c>
    </row>
    <row r="32" ht="20.05" customHeight="1">
      <c r="B32" t="s" s="12">
        <v>28</v>
      </c>
      <c r="C32" s="16"/>
      <c r="D32" s="22">
        <f>D20-D28-D29</f>
        <v>-1799.726524663560</v>
      </c>
      <c r="E32" s="23">
        <f>E20-E28-E29</f>
        <v>-1735.614558519930</v>
      </c>
      <c r="F32" s="23">
        <f>F20-F28-F29</f>
        <v>-1657.960199147560</v>
      </c>
      <c r="G32" s="23">
        <f>G20-G28-G29</f>
        <v>-1581.930926962650</v>
      </c>
    </row>
    <row r="33" ht="20.05" customHeight="1">
      <c r="B33" t="s" s="25">
        <v>29</v>
      </c>
      <c r="C33" s="16"/>
      <c r="D33" s="22"/>
      <c r="E33" s="23"/>
      <c r="F33" s="23"/>
      <c r="G33" s="23"/>
    </row>
    <row r="34" ht="20.05" customHeight="1">
      <c r="B34" t="s" s="12">
        <v>30</v>
      </c>
      <c r="C34" s="16"/>
      <c r="D34" s="22">
        <f>'Cashflow '!N28-D12</f>
        <v>-1606.826524663560</v>
      </c>
      <c r="E34" s="23">
        <f>D34-E12</f>
        <v>-1542.714558519930</v>
      </c>
      <c r="F34" s="23">
        <f>E34-F12</f>
        <v>-1465.060199147570</v>
      </c>
      <c r="G34" s="23">
        <f>F34-G12</f>
        <v>-1389.030926962660</v>
      </c>
    </row>
    <row r="35" ht="20.05" customHeight="1">
      <c r="B35" t="s" s="12">
        <v>31</v>
      </c>
      <c r="C35" s="16"/>
      <c r="D35" s="22"/>
      <c r="E35" s="23"/>
      <c r="F35" s="23"/>
      <c r="G35" s="23">
        <v>4608693764096</v>
      </c>
    </row>
    <row r="36" ht="20.05" customHeight="1">
      <c r="B36" t="s" s="12">
        <v>31</v>
      </c>
      <c r="C36" s="16"/>
      <c r="D36" s="22"/>
      <c r="E36" s="23"/>
      <c r="F36" s="23"/>
      <c r="G36" s="23">
        <f>G35/1000000000</f>
        <v>4608.693764096</v>
      </c>
    </row>
    <row r="37" ht="20.05" customHeight="1">
      <c r="B37" t="s" s="12">
        <v>32</v>
      </c>
      <c r="C37" s="16"/>
      <c r="D37" s="22"/>
      <c r="E37" s="23"/>
      <c r="F37" s="23"/>
      <c r="G37" s="30">
        <f>G36/(G20+G27)</f>
        <v>0.811418318267545</v>
      </c>
    </row>
    <row r="38" ht="20.05" customHeight="1">
      <c r="B38" t="s" s="12">
        <v>33</v>
      </c>
      <c r="C38" s="16"/>
      <c r="D38" s="22"/>
      <c r="E38" s="23"/>
      <c r="F38" s="23"/>
      <c r="G38" s="21">
        <f>-(D16+E16+F16+G16)/G36</f>
        <v>0</v>
      </c>
    </row>
    <row r="39" ht="20.05" customHeight="1">
      <c r="B39" t="s" s="12">
        <v>3</v>
      </c>
      <c r="C39" s="16"/>
      <c r="D39" s="22"/>
      <c r="E39" s="23"/>
      <c r="F39" s="23"/>
      <c r="G39" s="23">
        <f>SUM(G9:G11)*4</f>
        <v>231.717088739660</v>
      </c>
    </row>
    <row r="40" ht="20.05" customHeight="1">
      <c r="B40" t="s" s="12">
        <v>34</v>
      </c>
      <c r="C40" s="16"/>
      <c r="D40" s="22"/>
      <c r="E40" s="23"/>
      <c r="F40" s="23"/>
      <c r="G40" s="23">
        <f>'Balance sheet'!E28/G39</f>
        <v>23.0065034434707</v>
      </c>
    </row>
    <row r="41" ht="20.05" customHeight="1">
      <c r="B41" t="s" s="12">
        <v>29</v>
      </c>
      <c r="C41" s="16"/>
      <c r="D41" s="22"/>
      <c r="E41" s="23"/>
      <c r="F41" s="23"/>
      <c r="G41" s="23">
        <f>G36/G39</f>
        <v>19.889313253344</v>
      </c>
    </row>
    <row r="42" ht="20.05" customHeight="1">
      <c r="B42" t="s" s="12">
        <v>35</v>
      </c>
      <c r="C42" s="16"/>
      <c r="D42" s="22"/>
      <c r="E42" s="23"/>
      <c r="F42" s="23"/>
      <c r="G42" s="23">
        <v>23</v>
      </c>
    </row>
    <row r="43" ht="20.05" customHeight="1">
      <c r="B43" t="s" s="12">
        <v>36</v>
      </c>
      <c r="C43" s="16"/>
      <c r="D43" s="22"/>
      <c r="E43" s="23"/>
      <c r="F43" s="23"/>
      <c r="G43" s="23">
        <f>G39*G42</f>
        <v>5329.493041012180</v>
      </c>
    </row>
    <row r="44" ht="20.05" customHeight="1">
      <c r="B44" t="s" s="12">
        <v>37</v>
      </c>
      <c r="C44" s="16"/>
      <c r="D44" s="22"/>
      <c r="E44" s="23"/>
      <c r="F44" s="23"/>
      <c r="G44" s="23">
        <f>G36/G46</f>
        <v>9.932529664</v>
      </c>
    </row>
    <row r="45" ht="20.05" customHeight="1">
      <c r="B45" t="s" s="12">
        <v>38</v>
      </c>
      <c r="C45" s="16"/>
      <c r="D45" s="22"/>
      <c r="E45" s="23"/>
      <c r="F45" s="23"/>
      <c r="G45" s="23">
        <f>G43/G44</f>
        <v>536.569556930566</v>
      </c>
    </row>
    <row r="46" ht="20.05" customHeight="1">
      <c r="B46" t="s" s="12">
        <v>39</v>
      </c>
      <c r="C46" s="16"/>
      <c r="D46" s="22"/>
      <c r="E46" s="23"/>
      <c r="F46" s="23"/>
      <c r="G46" s="23">
        <v>464</v>
      </c>
    </row>
    <row r="47" ht="20.05" customHeight="1">
      <c r="B47" t="s" s="12">
        <v>40</v>
      </c>
      <c r="C47" s="16"/>
      <c r="D47" s="22"/>
      <c r="E47" s="23"/>
      <c r="F47" s="23"/>
      <c r="G47" s="21">
        <f>G45/G46-1</f>
        <v>0.156399907177944</v>
      </c>
    </row>
    <row r="48" ht="20.05" customHeight="1">
      <c r="B48" t="s" s="12">
        <v>41</v>
      </c>
      <c r="C48" s="16"/>
      <c r="D48" s="22"/>
      <c r="E48" s="23"/>
      <c r="F48" s="23"/>
      <c r="G48" s="21">
        <f>'Sales'!C32/'Sales'!C28-1</f>
        <v>0.0314745972738538</v>
      </c>
    </row>
    <row r="49" ht="20.05" customHeight="1">
      <c r="B49" t="s" s="12">
        <v>42</v>
      </c>
      <c r="C49" s="16"/>
      <c r="D49" s="22"/>
      <c r="E49" s="23"/>
      <c r="F49" s="23"/>
      <c r="G49" s="21">
        <f>'Sales'!F35/'Sales'!E35-1</f>
        <v>0.0425581310458113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25" style="31" customWidth="1"/>
    <col min="2" max="2" width="7.83594" style="31" customWidth="1"/>
    <col min="3" max="10" width="10.4844" style="31" customWidth="1"/>
    <col min="11" max="16384" width="16.3516" style="31" customWidth="1"/>
  </cols>
  <sheetData>
    <row r="1" ht="17.25" customHeight="1"/>
    <row r="2" ht="27.65" customHeight="1">
      <c r="B2" t="s" s="2">
        <v>43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6">
        <v>1</v>
      </c>
      <c r="C3" t="s" s="6">
        <v>5</v>
      </c>
      <c r="D3" t="s" s="6">
        <v>35</v>
      </c>
      <c r="E3" t="s" s="6">
        <v>25</v>
      </c>
      <c r="F3" t="s" s="6">
        <v>22</v>
      </c>
      <c r="G3" t="s" s="6">
        <v>44</v>
      </c>
      <c r="H3" t="s" s="6">
        <v>45</v>
      </c>
      <c r="I3" t="s" s="6">
        <v>45</v>
      </c>
      <c r="J3" t="s" s="6">
        <v>35</v>
      </c>
    </row>
    <row r="4" ht="20.25" customHeight="1">
      <c r="B4" s="32">
        <v>2015</v>
      </c>
      <c r="C4" s="33">
        <v>288.6</v>
      </c>
      <c r="D4" s="34"/>
      <c r="E4" s="34">
        <v>0</v>
      </c>
      <c r="F4" s="34">
        <v>73.7</v>
      </c>
      <c r="G4" s="35"/>
      <c r="H4" s="35">
        <f>(E4+F4-C4)/C4</f>
        <v>-0.744629244629245</v>
      </c>
      <c r="I4" s="35"/>
      <c r="J4" s="35"/>
    </row>
    <row r="5" ht="20.05" customHeight="1">
      <c r="B5" s="36"/>
      <c r="C5" s="22">
        <v>346.6</v>
      </c>
      <c r="D5" s="23"/>
      <c r="E5" s="23">
        <v>46.5</v>
      </c>
      <c r="F5" s="23">
        <v>93.8</v>
      </c>
      <c r="G5" s="21">
        <f>C5/C4-1</f>
        <v>0.200970200970201</v>
      </c>
      <c r="H5" s="21">
        <f>(E5+F5-C5)/C5</f>
        <v>-0.595210617426428</v>
      </c>
      <c r="I5" s="21"/>
      <c r="J5" s="21"/>
    </row>
    <row r="6" ht="20.05" customHeight="1">
      <c r="B6" s="36"/>
      <c r="C6" s="22">
        <v>397.6</v>
      </c>
      <c r="D6" s="23"/>
      <c r="E6" s="23">
        <v>-46.5</v>
      </c>
      <c r="F6" s="23">
        <v>97.90000000000001</v>
      </c>
      <c r="G6" s="21">
        <f>C6/C5-1</f>
        <v>0.147143681477207</v>
      </c>
      <c r="H6" s="21">
        <f>(E6+F6-C6)/C6</f>
        <v>-0.870724346076459</v>
      </c>
      <c r="I6" s="21"/>
      <c r="J6" s="21"/>
    </row>
    <row r="7" ht="20.05" customHeight="1">
      <c r="B7" s="36"/>
      <c r="C7" s="22">
        <v>428.2</v>
      </c>
      <c r="D7" s="23"/>
      <c r="E7" s="23">
        <v>91.59999999999999</v>
      </c>
      <c r="F7" s="23">
        <v>88.59999999999999</v>
      </c>
      <c r="G7" s="21">
        <f>C7/C6-1</f>
        <v>0.0769617706237425</v>
      </c>
      <c r="H7" s="21">
        <f>(E7+F7-C7)/C7</f>
        <v>-0.579168612797758</v>
      </c>
      <c r="I7" s="21"/>
      <c r="J7" s="21"/>
    </row>
    <row r="8" ht="20.05" customHeight="1">
      <c r="B8" s="37">
        <v>2016</v>
      </c>
      <c r="C8" s="22">
        <v>297.3</v>
      </c>
      <c r="D8" s="23"/>
      <c r="E8" s="23">
        <v>23.4</v>
      </c>
      <c r="F8" s="23">
        <v>28.3</v>
      </c>
      <c r="G8" s="21">
        <f>C8/C7-1</f>
        <v>-0.305698271835591</v>
      </c>
      <c r="H8" s="21">
        <f>(E8+F8-C8)/C8</f>
        <v>-0.826101580894719</v>
      </c>
      <c r="I8" s="29"/>
      <c r="J8" s="29"/>
    </row>
    <row r="9" ht="20.05" customHeight="1">
      <c r="B9" s="36"/>
      <c r="C9" s="22">
        <v>354.6</v>
      </c>
      <c r="D9" s="23"/>
      <c r="E9" s="23">
        <v>23.3</v>
      </c>
      <c r="F9" s="23">
        <v>74.2</v>
      </c>
      <c r="G9" s="21">
        <f>C9/C8-1</f>
        <v>0.192734611503532</v>
      </c>
      <c r="H9" s="21">
        <f>(E9+F9-C9)/C9</f>
        <v>-0.725042301184433</v>
      </c>
      <c r="I9" s="29"/>
      <c r="J9" s="29"/>
    </row>
    <row r="10" ht="20.05" customHeight="1">
      <c r="B10" s="36"/>
      <c r="C10" s="22">
        <v>390.9</v>
      </c>
      <c r="D10" s="23"/>
      <c r="E10" s="23">
        <v>22.5</v>
      </c>
      <c r="F10" s="23">
        <v>72.2</v>
      </c>
      <c r="G10" s="21">
        <f>C10/C9-1</f>
        <v>0.102368866328257</v>
      </c>
      <c r="H10" s="21">
        <f>(E10+F10-C10)/C10</f>
        <v>-0.75773855205935</v>
      </c>
      <c r="I10" s="29"/>
      <c r="J10" s="29"/>
    </row>
    <row r="11" ht="20.05" customHeight="1">
      <c r="B11" s="36"/>
      <c r="C11" s="22">
        <v>480</v>
      </c>
      <c r="D11" s="23"/>
      <c r="E11" s="23">
        <v>22.5</v>
      </c>
      <c r="F11" s="23">
        <v>84.3</v>
      </c>
      <c r="G11" s="21">
        <f>C11/C10-1</f>
        <v>0.227935533384497</v>
      </c>
      <c r="H11" s="21">
        <f>(E11+F11-C11)/C11</f>
        <v>-0.7775</v>
      </c>
      <c r="I11" s="29"/>
      <c r="J11" s="29"/>
    </row>
    <row r="12" ht="20.05" customHeight="1">
      <c r="B12" s="37">
        <v>2017</v>
      </c>
      <c r="C12" s="22">
        <v>327.7</v>
      </c>
      <c r="D12" s="23"/>
      <c r="E12" s="23">
        <v>22.6</v>
      </c>
      <c r="F12" s="23">
        <v>32</v>
      </c>
      <c r="G12" s="21">
        <f>C12/C11-1</f>
        <v>-0.317291666666667</v>
      </c>
      <c r="H12" s="21">
        <f>(E12+F12-C12)/C12</f>
        <v>-0.833384192859323</v>
      </c>
      <c r="I12" s="21">
        <f>AVERAGE(H9:H12)</f>
        <v>-0.773416261525777</v>
      </c>
      <c r="J12" s="29"/>
    </row>
    <row r="13" ht="20.05" customHeight="1">
      <c r="B13" s="36"/>
      <c r="C13" s="22">
        <v>299.3</v>
      </c>
      <c r="D13" s="23"/>
      <c r="E13" s="23">
        <v>22.4</v>
      </c>
      <c r="F13" s="23">
        <v>28.5</v>
      </c>
      <c r="G13" s="21">
        <f>C13/C12-1</f>
        <v>-0.0866646322856271</v>
      </c>
      <c r="H13" s="21">
        <f>(E13+F13-C13)/C13</f>
        <v>-0.829936518543268</v>
      </c>
      <c r="I13" s="21">
        <f>AVERAGE(H10:H13)</f>
        <v>-0.799639815865485</v>
      </c>
      <c r="J13" s="29"/>
    </row>
    <row r="14" ht="20.05" customHeight="1">
      <c r="B14" s="36"/>
      <c r="C14" s="22">
        <v>372.6</v>
      </c>
      <c r="D14" s="23"/>
      <c r="E14" s="23">
        <v>37.1</v>
      </c>
      <c r="F14" s="23">
        <v>47</v>
      </c>
      <c r="G14" s="21">
        <f>C14/C13-1</f>
        <v>0.244904777814901</v>
      </c>
      <c r="H14" s="21">
        <f>(E14+F14-C14)/C14</f>
        <v>-0.774288781535158</v>
      </c>
      <c r="I14" s="21">
        <f>AVERAGE(H11:H14)</f>
        <v>-0.803777373234437</v>
      </c>
      <c r="J14" s="29"/>
    </row>
    <row r="15" ht="20.05" customHeight="1">
      <c r="B15" s="36"/>
      <c r="C15" s="22">
        <v>551.9</v>
      </c>
      <c r="D15" s="23"/>
      <c r="E15" s="23">
        <v>68</v>
      </c>
      <c r="F15" s="23">
        <v>39.1</v>
      </c>
      <c r="G15" s="21">
        <f>C15/C14-1</f>
        <v>0.481213097155126</v>
      </c>
      <c r="H15" s="21">
        <f>(E15+F15-C15)/C15</f>
        <v>-0.805943105635079</v>
      </c>
      <c r="I15" s="21">
        <f>AVERAGE(H12:H15)</f>
        <v>-0.810888149643207</v>
      </c>
      <c r="J15" s="29"/>
    </row>
    <row r="16" ht="20.05" customHeight="1">
      <c r="B16" s="37">
        <v>2018</v>
      </c>
      <c r="C16" s="22">
        <v>394.2</v>
      </c>
      <c r="D16" s="23"/>
      <c r="E16" s="23">
        <v>50.5</v>
      </c>
      <c r="F16" s="23">
        <v>12.6</v>
      </c>
      <c r="G16" s="21">
        <f>C16/C15-1</f>
        <v>-0.28574017032071</v>
      </c>
      <c r="H16" s="21">
        <f>(E16+F16-C16)/C16</f>
        <v>-0.839928970065956</v>
      </c>
      <c r="I16" s="21">
        <f>AVERAGE(H13:H16)</f>
        <v>-0.8125243439448649</v>
      </c>
      <c r="J16" s="29"/>
    </row>
    <row r="17" ht="20.05" customHeight="1">
      <c r="B17" s="36"/>
      <c r="C17" s="22">
        <v>389.3</v>
      </c>
      <c r="D17" s="23"/>
      <c r="E17" s="23">
        <v>37.3</v>
      </c>
      <c r="F17" s="23">
        <v>11.4</v>
      </c>
      <c r="G17" s="21">
        <f>C17/C16-1</f>
        <v>-0.0124302384576357</v>
      </c>
      <c r="H17" s="21">
        <f>(E17+F17-C17)/C17</f>
        <v>-0.874903673259697</v>
      </c>
      <c r="I17" s="21">
        <f>AVERAGE(H14:H17)</f>
        <v>-0.823766132623973</v>
      </c>
      <c r="J17" s="29"/>
    </row>
    <row r="18" ht="20.05" customHeight="1">
      <c r="B18" s="36"/>
      <c r="C18" s="22">
        <v>588.5</v>
      </c>
      <c r="D18" s="23"/>
      <c r="E18" s="23">
        <v>58.1</v>
      </c>
      <c r="F18" s="23">
        <v>16.8</v>
      </c>
      <c r="G18" s="21">
        <f>C18/C17-1</f>
        <v>0.5116876444901099</v>
      </c>
      <c r="H18" s="21">
        <f>(E18+F18-C18)/C18</f>
        <v>-0.872727272727273</v>
      </c>
      <c r="I18" s="21">
        <f>AVERAGE(H15:H18)</f>
        <v>-0.8483757554220011</v>
      </c>
      <c r="J18" s="29"/>
    </row>
    <row r="19" ht="20.05" customHeight="1">
      <c r="B19" s="36"/>
      <c r="C19" s="22">
        <v>623.8</v>
      </c>
      <c r="D19" s="23"/>
      <c r="E19" s="23">
        <v>19.9</v>
      </c>
      <c r="F19" s="23">
        <v>35.2</v>
      </c>
      <c r="G19" s="21">
        <f>C19/C18-1</f>
        <v>0.059983007646559</v>
      </c>
      <c r="H19" s="21">
        <f>(E19+F19-C19)/C19</f>
        <v>-0.911670407181789</v>
      </c>
      <c r="I19" s="21">
        <f>AVERAGE(H16:H19)</f>
        <v>-0.874807580808679</v>
      </c>
      <c r="J19" s="29"/>
    </row>
    <row r="20" ht="20.05" customHeight="1">
      <c r="B20" s="37">
        <v>2019</v>
      </c>
      <c r="C20" s="22">
        <v>422.7</v>
      </c>
      <c r="D20" s="23"/>
      <c r="E20" s="23">
        <v>44.6</v>
      </c>
      <c r="F20" s="23">
        <v>4</v>
      </c>
      <c r="G20" s="21">
        <f>C20/C19-1</f>
        <v>-0.322378967617826</v>
      </c>
      <c r="H20" s="21">
        <f>(E20+F20-C20)/C20</f>
        <v>-0.885024840312278</v>
      </c>
      <c r="I20" s="21">
        <f>AVERAGE(H17:H20)</f>
        <v>-0.886081548370259</v>
      </c>
      <c r="J20" s="29"/>
    </row>
    <row r="21" ht="20.05" customHeight="1">
      <c r="B21" s="36"/>
      <c r="C21" s="22">
        <v>410.3</v>
      </c>
      <c r="D21" s="23"/>
      <c r="E21" s="23">
        <v>26.4</v>
      </c>
      <c r="F21" s="23">
        <v>3.5</v>
      </c>
      <c r="G21" s="21">
        <f>C21/C20-1</f>
        <v>-0.0293352259285545</v>
      </c>
      <c r="H21" s="21">
        <f>(E21+F21-C21)/C21</f>
        <v>-0.927126492810139</v>
      </c>
      <c r="I21" s="21">
        <f>AVERAGE(H18:H21)</f>
        <v>-0.89913725325787</v>
      </c>
      <c r="J21" s="29"/>
    </row>
    <row r="22" ht="20.05" customHeight="1">
      <c r="B22" s="36"/>
      <c r="C22" s="22">
        <v>590.8</v>
      </c>
      <c r="D22" s="23"/>
      <c r="E22" s="23">
        <v>48.9</v>
      </c>
      <c r="F22" s="23">
        <v>15.2</v>
      </c>
      <c r="G22" s="21">
        <f>C22/C21-1</f>
        <v>0.43992200828662</v>
      </c>
      <c r="H22" s="21">
        <f>(E22+F22-C22)/C22</f>
        <v>-0.891503046716317</v>
      </c>
      <c r="I22" s="21">
        <f>AVERAGE(H19:H22)</f>
        <v>-0.903831196755131</v>
      </c>
      <c r="J22" s="29"/>
    </row>
    <row r="23" ht="20.05" customHeight="1">
      <c r="B23" s="36"/>
      <c r="C23" s="22">
        <v>575.7</v>
      </c>
      <c r="D23" s="23"/>
      <c r="E23" s="23">
        <v>64.09999999999999</v>
      </c>
      <c r="F23" s="23">
        <v>7.373</v>
      </c>
      <c r="G23" s="21">
        <f>C23/C22-1</f>
        <v>-0.0255585646580907</v>
      </c>
      <c r="H23" s="21">
        <f>(E23+F23-C23)/C23</f>
        <v>-0.87585026923745</v>
      </c>
      <c r="I23" s="21">
        <f>AVERAGE(H20:H23)</f>
        <v>-0.894876162269046</v>
      </c>
      <c r="J23" s="21"/>
    </row>
    <row r="24" ht="20.05" customHeight="1">
      <c r="B24" s="37">
        <v>2020</v>
      </c>
      <c r="C24" s="22">
        <v>355.7</v>
      </c>
      <c r="D24" s="23"/>
      <c r="E24" s="23">
        <v>48</v>
      </c>
      <c r="F24" s="23">
        <v>-64.166</v>
      </c>
      <c r="G24" s="21">
        <f>C24/C23-1</f>
        <v>-0.382143477505645</v>
      </c>
      <c r="H24" s="21">
        <f>(E24+F24-C24)/C24</f>
        <v>-1.04544841158279</v>
      </c>
      <c r="I24" s="21">
        <f>AVERAGE(H21:H24)</f>
        <v>-0.934982055086674</v>
      </c>
      <c r="J24" s="21"/>
    </row>
    <row r="25" ht="20.05" customHeight="1">
      <c r="B25" s="36"/>
      <c r="C25" s="22">
        <v>316.1</v>
      </c>
      <c r="D25" s="23"/>
      <c r="E25" s="23">
        <v>53</v>
      </c>
      <c r="F25" s="23">
        <v>-73.434</v>
      </c>
      <c r="G25" s="21">
        <f>C25/C24-1</f>
        <v>-0.111329772280011</v>
      </c>
      <c r="H25" s="21">
        <f>(E25+F25-C25)/C25</f>
        <v>-1.06464409996836</v>
      </c>
      <c r="I25" s="21">
        <f>AVERAGE(H22:H25)</f>
        <v>-0.969361456876229</v>
      </c>
      <c r="J25" s="21"/>
    </row>
    <row r="26" ht="20.05" customHeight="1">
      <c r="B26" s="36"/>
      <c r="C26" s="22">
        <f>1150.2-SUM(C24:C25)</f>
        <v>478.4</v>
      </c>
      <c r="D26" s="23"/>
      <c r="E26" s="23">
        <f>10.7+105.2+37.4-SUM(E24:E25)</f>
        <v>52.3</v>
      </c>
      <c r="F26" s="23">
        <f>-112.6-SUM(F24:F25)</f>
        <v>25</v>
      </c>
      <c r="G26" s="21">
        <f>C26/C25-1</f>
        <v>0.513445112306232</v>
      </c>
      <c r="H26" s="21">
        <f>(E26+F26-C26)/C26</f>
        <v>-0.8384197324414721</v>
      </c>
      <c r="I26" s="21">
        <f>AVERAGE(H23:H26)</f>
        <v>-0.956090628307518</v>
      </c>
      <c r="J26" s="21"/>
    </row>
    <row r="27" ht="20.05" customHeight="1">
      <c r="B27" s="36"/>
      <c r="C27" s="22">
        <f>1721.9-SUM(C24:C26)</f>
        <v>571.7</v>
      </c>
      <c r="D27" s="23">
        <v>507.104</v>
      </c>
      <c r="E27" s="23">
        <f>41+160.3-SUM(E24:E26)</f>
        <v>48</v>
      </c>
      <c r="F27" s="23">
        <f>11-SUM(F24:F26)</f>
        <v>123.6</v>
      </c>
      <c r="G27" s="21">
        <f>C27/C26-1</f>
        <v>0.19502508361204</v>
      </c>
      <c r="H27" s="21">
        <f>(E27+F27-C27)/C27</f>
        <v>-0.699842574776981</v>
      </c>
      <c r="I27" s="21">
        <f>AVERAGE(H24:H27)</f>
        <v>-0.912088704692401</v>
      </c>
      <c r="J27" s="21"/>
    </row>
    <row r="28" ht="20.05" customHeight="1">
      <c r="B28" s="37">
        <v>2021</v>
      </c>
      <c r="C28" s="22">
        <v>403.5</v>
      </c>
      <c r="D28" s="23">
        <v>457.36</v>
      </c>
      <c r="E28" s="23">
        <v>54.75</v>
      </c>
      <c r="F28" s="23">
        <v>18</v>
      </c>
      <c r="G28" s="21">
        <f>C28/C27-1</f>
        <v>-0.294210250131188</v>
      </c>
      <c r="H28" s="21">
        <f>(E28+F28-C28)/C28</f>
        <v>-0.819702602230483</v>
      </c>
      <c r="I28" s="21">
        <f>AVERAGE(H25:H28)</f>
        <v>-0.855652252354324</v>
      </c>
      <c r="J28" s="21"/>
    </row>
    <row r="29" ht="20.05" customHeight="1">
      <c r="B29" s="36"/>
      <c r="C29" s="22">
        <f>763.6-C28</f>
        <v>360.1</v>
      </c>
      <c r="D29" s="23">
        <v>391.395</v>
      </c>
      <c r="E29" s="23">
        <v>54.75</v>
      </c>
      <c r="F29" s="23">
        <f>2.6-F28</f>
        <v>-15.4</v>
      </c>
      <c r="G29" s="21">
        <f>C29/C28-1</f>
        <v>-0.107558859975217</v>
      </c>
      <c r="H29" s="21">
        <f>(E29+F29-C29)/C29</f>
        <v>-0.890724798667037</v>
      </c>
      <c r="I29" s="21">
        <f>AVERAGE(H26:H29)</f>
        <v>-0.8121724270289929</v>
      </c>
      <c r="J29" s="21"/>
    </row>
    <row r="30" ht="20.05" customHeight="1">
      <c r="B30" s="36"/>
      <c r="C30" s="22">
        <f>1213.5-SUM(C28:C29)</f>
        <v>449.9</v>
      </c>
      <c r="D30" s="28">
        <v>450.125</v>
      </c>
      <c r="E30" s="23">
        <v>54.75</v>
      </c>
      <c r="F30" s="23">
        <f>16.6-SUM(F28:F29)</f>
        <v>14</v>
      </c>
      <c r="G30" s="21">
        <f>C30/C29-1</f>
        <v>0.249375173562899</v>
      </c>
      <c r="H30" s="21">
        <f>(E30+F30-C30)/C30</f>
        <v>-0.84718826405868</v>
      </c>
      <c r="I30" s="21">
        <f>AVERAGE(H27:H30)</f>
        <v>-0.814364559933295</v>
      </c>
      <c r="J30" s="21"/>
    </row>
    <row r="31" ht="20.05" customHeight="1">
      <c r="B31" s="36"/>
      <c r="C31" s="22">
        <f>1751.6-C30-C29-C28</f>
        <v>538.1</v>
      </c>
      <c r="D31" s="28">
        <v>517.385</v>
      </c>
      <c r="E31" s="23">
        <v>54.75</v>
      </c>
      <c r="F31" s="23">
        <f>51.8-F30-F29-F28</f>
        <v>35.2</v>
      </c>
      <c r="G31" s="21">
        <f>C31/C30-1</f>
        <v>0.196043565236719</v>
      </c>
      <c r="H31" s="21">
        <f>(E31+F31-C31)/C31</f>
        <v>-0.832837762497677</v>
      </c>
      <c r="I31" s="21">
        <f>AVERAGE(H28:H31)</f>
        <v>-0.8476133568634689</v>
      </c>
      <c r="J31" s="21"/>
    </row>
    <row r="32" ht="20.05" customHeight="1">
      <c r="B32" s="37">
        <v>2022</v>
      </c>
      <c r="C32" s="22">
        <v>416.2</v>
      </c>
      <c r="D32" s="28">
        <v>532.7190000000001</v>
      </c>
      <c r="E32" s="23">
        <f>42.3+8.1</f>
        <v>50.4</v>
      </c>
      <c r="F32" s="23">
        <v>9.6</v>
      </c>
      <c r="G32" s="21">
        <f>C32/C31-1</f>
        <v>-0.226537818249396</v>
      </c>
      <c r="H32" s="21">
        <f>(E32+F32-C32)/C32</f>
        <v>-0.855838539163864</v>
      </c>
      <c r="I32" s="21">
        <f>AVERAGE(H29:H32)</f>
        <v>-0.856647341096815</v>
      </c>
      <c r="J32" s="21">
        <v>-0.8476133568634689</v>
      </c>
    </row>
    <row r="33" ht="20.05" customHeight="1">
      <c r="B33" s="36"/>
      <c r="C33" s="22"/>
      <c r="D33" s="28">
        <f>'Model '!D6</f>
        <v>403.714</v>
      </c>
      <c r="E33" s="23"/>
      <c r="F33" s="23"/>
      <c r="G33" s="15"/>
      <c r="H33" s="29"/>
      <c r="I33" s="15"/>
      <c r="J33" s="15">
        <f>'Model '!D7</f>
        <v>-0.856647341096815</v>
      </c>
    </row>
    <row r="34" ht="20.05" customHeight="1">
      <c r="B34" s="36"/>
      <c r="C34" s="22"/>
      <c r="D34" s="23">
        <f>'Model '!E6</f>
        <v>472.34538</v>
      </c>
      <c r="E34" s="29"/>
      <c r="F34" s="23"/>
      <c r="G34" s="15"/>
      <c r="H34" s="15"/>
      <c r="I34" s="15"/>
      <c r="J34" s="15"/>
    </row>
    <row r="35" ht="20.05" customHeight="1">
      <c r="B35" s="36"/>
      <c r="C35" s="22"/>
      <c r="D35" s="23">
        <f>'Model '!F6</f>
        <v>566.814456</v>
      </c>
      <c r="E35" s="23">
        <f>SUM(C27:C32)</f>
        <v>2739.5</v>
      </c>
      <c r="F35" s="23">
        <f>SUM(D27:D32)</f>
        <v>2856.088</v>
      </c>
      <c r="G35" s="15"/>
      <c r="H35" s="15"/>
      <c r="I35" s="15"/>
      <c r="J35" s="15"/>
    </row>
    <row r="36" ht="20.05" customHeight="1">
      <c r="B36" s="37">
        <v>2023</v>
      </c>
      <c r="C36" s="22"/>
      <c r="D36" s="23">
        <f>'Model '!G6</f>
        <v>555.47816688</v>
      </c>
      <c r="E36" s="23"/>
      <c r="F36" s="23"/>
      <c r="G36" s="15"/>
      <c r="H36" s="15"/>
      <c r="I36" s="15"/>
      <c r="J36" s="15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48438" style="38" customWidth="1"/>
    <col min="2" max="2" width="8.82031" style="38" customWidth="1"/>
    <col min="3" max="3" width="9.97656" style="38" customWidth="1"/>
    <col min="4" max="16" width="11.0859" style="38" customWidth="1"/>
    <col min="17" max="16384" width="16.3516" style="38" customWidth="1"/>
  </cols>
  <sheetData>
    <row r="1" ht="21.4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6">
        <v>1</v>
      </c>
      <c r="C3" t="s" s="6">
        <v>47</v>
      </c>
      <c r="D3" t="s" s="6">
        <v>8</v>
      </c>
      <c r="E3" t="s" s="6">
        <v>48</v>
      </c>
      <c r="F3" t="s" s="6">
        <v>49</v>
      </c>
      <c r="G3" t="s" s="6">
        <v>50</v>
      </c>
      <c r="H3" t="s" s="6">
        <v>12</v>
      </c>
      <c r="I3" t="s" s="6">
        <v>51</v>
      </c>
      <c r="J3" t="s" s="6">
        <v>52</v>
      </c>
      <c r="K3" t="s" s="6">
        <v>53</v>
      </c>
      <c r="L3" t="s" s="6">
        <v>3</v>
      </c>
      <c r="M3" t="s" s="6">
        <v>35</v>
      </c>
      <c r="N3" t="s" s="6">
        <v>54</v>
      </c>
      <c r="O3" t="s" s="6">
        <v>35</v>
      </c>
      <c r="P3" s="5"/>
    </row>
    <row r="4" ht="20.25" customHeight="1">
      <c r="B4" s="32">
        <v>2016</v>
      </c>
      <c r="C4" s="33">
        <v>286.3</v>
      </c>
      <c r="D4" s="34">
        <v>-24</v>
      </c>
      <c r="E4" s="34">
        <v>-279.3</v>
      </c>
      <c r="F4" s="34">
        <v>0</v>
      </c>
      <c r="G4" s="34">
        <v>0</v>
      </c>
      <c r="H4" s="34"/>
      <c r="I4" s="34"/>
      <c r="J4" s="34">
        <v>0</v>
      </c>
      <c r="K4" s="34">
        <f>F4+D4+E4+G4</f>
        <v>-303.3</v>
      </c>
      <c r="L4" s="34"/>
      <c r="M4" s="34"/>
      <c r="N4" s="34">
        <f>-(J4-F4-G4)</f>
        <v>0</v>
      </c>
      <c r="O4" s="34"/>
      <c r="P4" s="34">
        <v>1</v>
      </c>
    </row>
    <row r="5" ht="20.05" customHeight="1">
      <c r="B5" s="36"/>
      <c r="C5" s="22">
        <v>300.7</v>
      </c>
      <c r="D5" s="23">
        <v>194</v>
      </c>
      <c r="E5" s="23">
        <v>-888.2</v>
      </c>
      <c r="F5" s="23">
        <v>0</v>
      </c>
      <c r="G5" s="23">
        <v>-0.02</v>
      </c>
      <c r="H5" s="23"/>
      <c r="I5" s="23"/>
      <c r="J5" s="23">
        <v>11.4</v>
      </c>
      <c r="K5" s="23">
        <f>F5+D5+E5+G5</f>
        <v>-694.22</v>
      </c>
      <c r="L5" s="23"/>
      <c r="M5" s="23"/>
      <c r="N5" s="23">
        <f>-(J5-F5-G5)+N4</f>
        <v>-11.42</v>
      </c>
      <c r="O5" s="23"/>
      <c r="P5" s="23">
        <f>1+P4</f>
        <v>2</v>
      </c>
    </row>
    <row r="6" ht="20.05" customHeight="1">
      <c r="B6" s="36"/>
      <c r="C6" s="22">
        <v>364.4</v>
      </c>
      <c r="D6" s="23">
        <v>-265.5</v>
      </c>
      <c r="E6" s="23">
        <v>-377.4</v>
      </c>
      <c r="F6" s="23">
        <v>0</v>
      </c>
      <c r="G6" s="23">
        <v>-0.04</v>
      </c>
      <c r="H6" s="23"/>
      <c r="I6" s="23"/>
      <c r="J6" s="23">
        <v>311.5</v>
      </c>
      <c r="K6" s="23">
        <f>F6+D6+E6+G6</f>
        <v>-642.9400000000001</v>
      </c>
      <c r="L6" s="23"/>
      <c r="M6" s="23"/>
      <c r="N6" s="23">
        <f>-(J6-F6-G6)+N5</f>
        <v>-322.96</v>
      </c>
      <c r="O6" s="23"/>
      <c r="P6" s="23">
        <f>1+P5</f>
        <v>3</v>
      </c>
    </row>
    <row r="7" ht="20.05" customHeight="1">
      <c r="B7" s="36"/>
      <c r="C7" s="22">
        <v>499.3</v>
      </c>
      <c r="D7" s="23">
        <v>182.8</v>
      </c>
      <c r="E7" s="23">
        <v>-481.3</v>
      </c>
      <c r="F7" s="23">
        <v>-7.4</v>
      </c>
      <c r="G7" s="23">
        <v>0.01</v>
      </c>
      <c r="H7" s="23"/>
      <c r="I7" s="23"/>
      <c r="J7" s="23">
        <v>208.3</v>
      </c>
      <c r="K7" s="23">
        <f>F7+D7+E7+G7</f>
        <v>-305.89</v>
      </c>
      <c r="L7" s="23"/>
      <c r="M7" s="23"/>
      <c r="N7" s="23">
        <f>-(J7-F7-G7)+N6</f>
        <v>-538.65</v>
      </c>
      <c r="O7" s="23"/>
      <c r="P7" s="23">
        <f>1+P6</f>
        <v>4</v>
      </c>
    </row>
    <row r="8" ht="20.05" customHeight="1">
      <c r="B8" s="37">
        <v>2017</v>
      </c>
      <c r="C8" s="22">
        <v>385</v>
      </c>
      <c r="D8" s="23">
        <v>31.5</v>
      </c>
      <c r="E8" s="23">
        <v>-193.9</v>
      </c>
      <c r="F8" s="23">
        <v>-13.4</v>
      </c>
      <c r="G8" s="23">
        <v>-0.08</v>
      </c>
      <c r="H8" s="23"/>
      <c r="I8" s="23"/>
      <c r="J8" s="23">
        <v>156.8</v>
      </c>
      <c r="K8" s="23">
        <f>F8+D8+E8+G8</f>
        <v>-175.88</v>
      </c>
      <c r="L8" s="23">
        <f>AVERAGE(K5:K8)</f>
        <v>-454.7325</v>
      </c>
      <c r="M8" s="23"/>
      <c r="N8" s="23">
        <f>-(J8-F8-G8)+N7</f>
        <v>-708.9299999999999</v>
      </c>
      <c r="O8" s="23"/>
      <c r="P8" s="23">
        <f>1+P7</f>
        <v>5</v>
      </c>
    </row>
    <row r="9" ht="20.05" customHeight="1">
      <c r="B9" s="36"/>
      <c r="C9" s="22">
        <v>314.7</v>
      </c>
      <c r="D9" s="23">
        <v>-19.2</v>
      </c>
      <c r="E9" s="23">
        <v>-114.1</v>
      </c>
      <c r="F9" s="23">
        <v>-16.1</v>
      </c>
      <c r="G9" s="23">
        <v>-0.07000000000000001</v>
      </c>
      <c r="H9" s="23"/>
      <c r="I9" s="23"/>
      <c r="J9" s="23">
        <v>194.2</v>
      </c>
      <c r="K9" s="23">
        <f>F9+D9+E9+G9</f>
        <v>-149.47</v>
      </c>
      <c r="L9" s="23">
        <f>AVERAGE(K6:K9)</f>
        <v>-318.545</v>
      </c>
      <c r="M9" s="23"/>
      <c r="N9" s="23">
        <f>-(J9-F9-G9)+N8</f>
        <v>-919.3</v>
      </c>
      <c r="O9" s="23"/>
      <c r="P9" s="23">
        <f>1+P8</f>
        <v>6</v>
      </c>
    </row>
    <row r="10" ht="20.05" customHeight="1">
      <c r="B10" s="36"/>
      <c r="C10" s="22">
        <v>419.3</v>
      </c>
      <c r="D10" s="23">
        <v>105.7</v>
      </c>
      <c r="E10" s="23">
        <v>-49</v>
      </c>
      <c r="F10" s="23">
        <v>-22.1</v>
      </c>
      <c r="G10" s="23">
        <v>-0.08</v>
      </c>
      <c r="H10" s="23"/>
      <c r="I10" s="23"/>
      <c r="J10" s="23">
        <v>-19.7</v>
      </c>
      <c r="K10" s="23">
        <f>F10+D10+E10+G10</f>
        <v>34.52</v>
      </c>
      <c r="L10" s="23">
        <f>AVERAGE(K7:K10)</f>
        <v>-149.18</v>
      </c>
      <c r="M10" s="23"/>
      <c r="N10" s="23">
        <f>-(J10-F10-G10)+N9</f>
        <v>-921.78</v>
      </c>
      <c r="O10" s="23"/>
      <c r="P10" s="23">
        <f>1+P9</f>
        <v>7</v>
      </c>
    </row>
    <row r="11" ht="20.05" customHeight="1">
      <c r="B11" s="36"/>
      <c r="C11" s="22">
        <v>421.8</v>
      </c>
      <c r="D11" s="23">
        <v>65.2</v>
      </c>
      <c r="E11" s="23">
        <v>-44.7</v>
      </c>
      <c r="F11" s="23">
        <v>-22.4</v>
      </c>
      <c r="G11" s="23">
        <v>-0.72</v>
      </c>
      <c r="H11" s="23"/>
      <c r="I11" s="23"/>
      <c r="J11" s="23">
        <v>35.5</v>
      </c>
      <c r="K11" s="23">
        <f>F11+D11+E11+G11</f>
        <v>-2.62</v>
      </c>
      <c r="L11" s="23">
        <f>AVERAGE(K8:K11)</f>
        <v>-73.3625</v>
      </c>
      <c r="M11" s="23"/>
      <c r="N11" s="23">
        <f>-(J11-F11-G11)+N10</f>
        <v>-980.4</v>
      </c>
      <c r="O11" s="23"/>
      <c r="P11" s="23">
        <f>1+P10</f>
        <v>8</v>
      </c>
    </row>
    <row r="12" ht="20.05" customHeight="1">
      <c r="B12" s="37">
        <v>2018</v>
      </c>
      <c r="C12" s="22">
        <v>343.6</v>
      </c>
      <c r="D12" s="23">
        <v>-148.6</v>
      </c>
      <c r="E12" s="23">
        <v>-246.9</v>
      </c>
      <c r="F12" s="23">
        <v>-22.3</v>
      </c>
      <c r="G12" s="23">
        <v>-2</v>
      </c>
      <c r="H12" s="23"/>
      <c r="I12" s="23"/>
      <c r="J12" s="23">
        <v>339</v>
      </c>
      <c r="K12" s="23">
        <f>F12+D12+E12+G12</f>
        <v>-419.8</v>
      </c>
      <c r="L12" s="23">
        <f>AVERAGE(K9:K12)</f>
        <v>-134.3425</v>
      </c>
      <c r="M12" s="23"/>
      <c r="N12" s="23">
        <f>-(J12-F12-G12)+N11</f>
        <v>-1343.7</v>
      </c>
      <c r="O12" s="23"/>
      <c r="P12" s="23">
        <f>1+P11</f>
        <v>9</v>
      </c>
    </row>
    <row r="13" ht="20.05" customHeight="1">
      <c r="B13" s="36"/>
      <c r="C13" s="22">
        <v>518.4</v>
      </c>
      <c r="D13" s="23">
        <v>-11.4</v>
      </c>
      <c r="E13" s="23">
        <v>-17.6</v>
      </c>
      <c r="F13" s="23">
        <v>-30.7</v>
      </c>
      <c r="G13" s="23">
        <v>-3</v>
      </c>
      <c r="H13" s="23"/>
      <c r="I13" s="23"/>
      <c r="J13" s="23">
        <v>-9.300000000000001</v>
      </c>
      <c r="K13" s="23">
        <f>F13+D13+E13+G13</f>
        <v>-62.7</v>
      </c>
      <c r="L13" s="23">
        <f>AVERAGE(K10:K13)</f>
        <v>-112.65</v>
      </c>
      <c r="M13" s="23"/>
      <c r="N13" s="23">
        <f>-(J13-F13-G13)+N12</f>
        <v>-1368.1</v>
      </c>
      <c r="O13" s="23"/>
      <c r="P13" s="23">
        <f>1+P12</f>
        <v>10</v>
      </c>
    </row>
    <row r="14" ht="20.05" customHeight="1">
      <c r="B14" s="36"/>
      <c r="C14" s="22">
        <v>576.8</v>
      </c>
      <c r="D14" s="23">
        <v>168.5</v>
      </c>
      <c r="E14" s="23">
        <v>-175.3</v>
      </c>
      <c r="F14" s="23">
        <v>-31.3</v>
      </c>
      <c r="G14" s="23">
        <v>-4</v>
      </c>
      <c r="H14" s="23"/>
      <c r="I14" s="23"/>
      <c r="J14" s="23">
        <v>-36.3</v>
      </c>
      <c r="K14" s="23">
        <f>F14+D14+E14+G14</f>
        <v>-42.1</v>
      </c>
      <c r="L14" s="23">
        <f>AVERAGE(K11:K14)</f>
        <v>-131.805</v>
      </c>
      <c r="M14" s="23"/>
      <c r="N14" s="23">
        <f>-(J14-F14-G14)+N13</f>
        <v>-1367.1</v>
      </c>
      <c r="O14" s="23"/>
      <c r="P14" s="23">
        <f>1+P13</f>
        <v>11</v>
      </c>
    </row>
    <row r="15" ht="20.05" customHeight="1">
      <c r="B15" s="36"/>
      <c r="C15" s="22">
        <v>710.1</v>
      </c>
      <c r="D15" s="23">
        <v>55.9</v>
      </c>
      <c r="E15" s="23">
        <v>113.6</v>
      </c>
      <c r="F15" s="23">
        <v>-31.4</v>
      </c>
      <c r="G15" s="23">
        <v>-9</v>
      </c>
      <c r="H15" s="23"/>
      <c r="I15" s="23"/>
      <c r="J15" s="23">
        <v>-39.6</v>
      </c>
      <c r="K15" s="23">
        <f>F15+D15+E15+G15</f>
        <v>129.1</v>
      </c>
      <c r="L15" s="23">
        <f>AVERAGE(K12:K15)</f>
        <v>-98.875</v>
      </c>
      <c r="M15" s="23"/>
      <c r="N15" s="23">
        <f>-(J15-F15-G15)+N14</f>
        <v>-1367.9</v>
      </c>
      <c r="O15" s="23"/>
      <c r="P15" s="23">
        <f>1+P14</f>
        <v>12</v>
      </c>
    </row>
    <row r="16" ht="20.05" customHeight="1">
      <c r="B16" s="37">
        <v>2019</v>
      </c>
      <c r="C16" s="22">
        <v>428.8</v>
      </c>
      <c r="D16" s="23">
        <v>-110</v>
      </c>
      <c r="E16" s="23">
        <v>-167.5</v>
      </c>
      <c r="F16" s="23">
        <v>-31.3</v>
      </c>
      <c r="G16" s="23">
        <v>-6</v>
      </c>
      <c r="H16" s="23"/>
      <c r="I16" s="23"/>
      <c r="J16" s="23">
        <v>-37.7</v>
      </c>
      <c r="K16" s="23">
        <f>F16+D16+E16+G16</f>
        <v>-314.8</v>
      </c>
      <c r="L16" s="23">
        <f>AVERAGE(K13:K16)</f>
        <v>-72.625</v>
      </c>
      <c r="M16" s="23"/>
      <c r="N16" s="23">
        <f>-(J16-F16-G16)+N15</f>
        <v>-1367.5</v>
      </c>
      <c r="O16" s="23"/>
      <c r="P16" s="23">
        <f>1+P15</f>
        <v>13</v>
      </c>
    </row>
    <row r="17" ht="20.05" customHeight="1">
      <c r="B17" s="36"/>
      <c r="C17" s="22">
        <v>443</v>
      </c>
      <c r="D17" s="23">
        <v>-99</v>
      </c>
      <c r="E17" s="23">
        <v>-18.5</v>
      </c>
      <c r="F17" s="23">
        <v>-31.3</v>
      </c>
      <c r="G17" s="23">
        <v>-7</v>
      </c>
      <c r="H17" s="23"/>
      <c r="I17" s="23"/>
      <c r="J17" s="23">
        <v>142.7</v>
      </c>
      <c r="K17" s="23">
        <f>F17+D17+E17+G17</f>
        <v>-155.8</v>
      </c>
      <c r="L17" s="23">
        <f>AVERAGE(K14:K17)</f>
        <v>-95.90000000000001</v>
      </c>
      <c r="M17" s="23"/>
      <c r="N17" s="23">
        <f>-(J17-F17-G17)+N16</f>
        <v>-1548.5</v>
      </c>
      <c r="O17" s="23"/>
      <c r="P17" s="23">
        <f>1+P16</f>
        <v>14</v>
      </c>
    </row>
    <row r="18" ht="20.05" customHeight="1">
      <c r="B18" s="36"/>
      <c r="C18" s="22">
        <v>628.9</v>
      </c>
      <c r="D18" s="23">
        <v>95</v>
      </c>
      <c r="E18" s="23">
        <v>-67.8</v>
      </c>
      <c r="F18" s="23">
        <v>-53</v>
      </c>
      <c r="G18" s="23">
        <v>-7</v>
      </c>
      <c r="H18" s="23"/>
      <c r="I18" s="23"/>
      <c r="J18" s="23">
        <v>-61.1</v>
      </c>
      <c r="K18" s="23">
        <f>F18+D18+E18+G18</f>
        <v>-32.8</v>
      </c>
      <c r="L18" s="23">
        <f>AVERAGE(K15:K18)</f>
        <v>-93.575</v>
      </c>
      <c r="M18" s="23"/>
      <c r="N18" s="23">
        <f>-(J18-F18-G18)+N17</f>
        <v>-1547.4</v>
      </c>
      <c r="O18" s="23"/>
      <c r="P18" s="23">
        <f>1+P17</f>
        <v>15</v>
      </c>
    </row>
    <row r="19" ht="20.05" customHeight="1">
      <c r="B19" s="36"/>
      <c r="C19" s="22">
        <v>715.45</v>
      </c>
      <c r="D19" s="23">
        <v>201.9</v>
      </c>
      <c r="E19" s="23">
        <v>-89.09999999999999</v>
      </c>
      <c r="F19" s="23">
        <v>-18.9</v>
      </c>
      <c r="G19" s="23">
        <v>-8</v>
      </c>
      <c r="H19" s="23"/>
      <c r="I19" s="23"/>
      <c r="J19" s="23">
        <v>-61.1</v>
      </c>
      <c r="K19" s="23">
        <f>F19+D19+E19+G19</f>
        <v>85.90000000000001</v>
      </c>
      <c r="L19" s="23">
        <f>AVERAGE(K16:K19)</f>
        <v>-104.375</v>
      </c>
      <c r="M19" s="23"/>
      <c r="N19" s="23">
        <f>-(J19-F19-G19)+N18</f>
        <v>-1513.2</v>
      </c>
      <c r="O19" s="23"/>
      <c r="P19" s="23">
        <f>1+P18</f>
        <v>16</v>
      </c>
    </row>
    <row r="20" ht="20.05" customHeight="1">
      <c r="B20" s="37">
        <v>2020</v>
      </c>
      <c r="C20" s="22">
        <v>391.8</v>
      </c>
      <c r="D20" s="23">
        <v>-30.75</v>
      </c>
      <c r="E20" s="23">
        <v>-19.22</v>
      </c>
      <c r="F20" s="23">
        <v>-35.3</v>
      </c>
      <c r="G20" s="23">
        <v>-8</v>
      </c>
      <c r="H20" s="23">
        <v>134</v>
      </c>
      <c r="I20" s="23">
        <v>-1.5</v>
      </c>
      <c r="J20" s="23">
        <v>-60.9</v>
      </c>
      <c r="K20" s="23">
        <f>F20+D20+E20+G20</f>
        <v>-93.27</v>
      </c>
      <c r="L20" s="23">
        <f>AVERAGE(K17:K20)</f>
        <v>-48.9925</v>
      </c>
      <c r="M20" s="23"/>
      <c r="N20" s="23">
        <f>-(J20-F20-G20)+N19</f>
        <v>-1495.6</v>
      </c>
      <c r="O20" s="23"/>
      <c r="P20" s="23">
        <f>1+P19</f>
        <v>17</v>
      </c>
    </row>
    <row r="21" ht="20.05" customHeight="1">
      <c r="B21" s="36"/>
      <c r="C21" s="22">
        <v>407.7</v>
      </c>
      <c r="D21" s="23">
        <v>73.25</v>
      </c>
      <c r="E21" s="23">
        <v>-34.68</v>
      </c>
      <c r="F21" s="23">
        <v>-34.3</v>
      </c>
      <c r="G21" s="23">
        <v>-7</v>
      </c>
      <c r="H21" s="23">
        <v>134</v>
      </c>
      <c r="I21" s="23">
        <v>-1.5</v>
      </c>
      <c r="J21" s="23">
        <v>-60.1</v>
      </c>
      <c r="K21" s="23">
        <f>F21+D21+E21+G21</f>
        <v>-2.73</v>
      </c>
      <c r="L21" s="23">
        <f>AVERAGE(K18:K21)</f>
        <v>-10.725</v>
      </c>
      <c r="M21" s="23"/>
      <c r="N21" s="23">
        <f>-(J21-F21-G21)+N20</f>
        <v>-1476.8</v>
      </c>
      <c r="O21" s="23"/>
      <c r="P21" s="23">
        <f>1+P20</f>
        <v>18</v>
      </c>
    </row>
    <row r="22" ht="20.05" customHeight="1">
      <c r="B22" s="36"/>
      <c r="C22" s="22">
        <v>472.4</v>
      </c>
      <c r="D22" s="23">
        <v>95</v>
      </c>
      <c r="E22" s="23">
        <v>-41.5</v>
      </c>
      <c r="F22" s="23">
        <v>-63.3</v>
      </c>
      <c r="G22" s="23">
        <v>-23</v>
      </c>
      <c r="H22" s="23">
        <v>134</v>
      </c>
      <c r="I22" s="23">
        <v>-1.5</v>
      </c>
      <c r="J22" s="23">
        <v>74.09999999999999</v>
      </c>
      <c r="K22" s="23">
        <f>F22+D22+E22+G22</f>
        <v>-32.8</v>
      </c>
      <c r="L22" s="23">
        <f>AVERAGE(K19:K22)</f>
        <v>-10.725</v>
      </c>
      <c r="M22" s="23"/>
      <c r="N22" s="23">
        <f>-(J22-F22-G22)+N21</f>
        <v>-1637.2</v>
      </c>
      <c r="O22" s="23"/>
      <c r="P22" s="23">
        <f>1+P21</f>
        <v>19</v>
      </c>
    </row>
    <row r="23" ht="20.05" customHeight="1">
      <c r="B23" s="36"/>
      <c r="C23" s="22">
        <f>1833.6-SUM(C20:C22)</f>
        <v>561.7</v>
      </c>
      <c r="D23" s="23">
        <f>393-SUM(D20:D22)</f>
        <v>255.5</v>
      </c>
      <c r="E23" s="23">
        <f>-122.9-SUM(E20:E22)</f>
        <v>-27.5</v>
      </c>
      <c r="F23" s="23">
        <f>-1.8-36-106.9-SUM(F20:F22)</f>
        <v>-11.8</v>
      </c>
      <c r="G23" s="23">
        <f>-66.8-SUM(G20:G22)</f>
        <v>-28.8</v>
      </c>
      <c r="H23" s="23">
        <v>134</v>
      </c>
      <c r="I23" s="23">
        <v>-1.5</v>
      </c>
      <c r="J23" s="23">
        <f>-93.3-SUM(J20:J22)</f>
        <v>-46.4</v>
      </c>
      <c r="K23" s="23">
        <f>F23+D23+E23+G23</f>
        <v>187.4</v>
      </c>
      <c r="L23" s="23">
        <f>AVERAGE(K20:K23)</f>
        <v>14.65</v>
      </c>
      <c r="M23" s="23"/>
      <c r="N23" s="23">
        <f>-(J23-F23-G23)+N22</f>
        <v>-1631.4</v>
      </c>
      <c r="O23" s="23"/>
      <c r="P23" s="23">
        <f>1+P22</f>
        <v>20</v>
      </c>
    </row>
    <row r="24" ht="20.05" customHeight="1">
      <c r="B24" s="37">
        <v>2021</v>
      </c>
      <c r="C24" s="22">
        <f>524.7</f>
        <v>524.7</v>
      </c>
      <c r="D24" s="23">
        <v>86.5</v>
      </c>
      <c r="E24" s="23">
        <v>-8</v>
      </c>
      <c r="F24" s="23">
        <v>-38.85</v>
      </c>
      <c r="G24" s="23">
        <v>-12.75</v>
      </c>
      <c r="H24" s="23">
        <v>11</v>
      </c>
      <c r="I24" s="23">
        <v>0</v>
      </c>
      <c r="J24" s="23">
        <f>16.7</f>
        <v>16.7</v>
      </c>
      <c r="K24" s="23">
        <f>F24+D24+E24+G24</f>
        <v>26.9</v>
      </c>
      <c r="L24" s="23">
        <f>AVERAGE(K21:K24)</f>
        <v>44.6925</v>
      </c>
      <c r="M24" s="23"/>
      <c r="N24" s="23">
        <f>-(J24-F24-G24)+N23</f>
        <v>-1699.7</v>
      </c>
      <c r="O24" s="23"/>
      <c r="P24" s="23">
        <f>1+P23</f>
        <v>21</v>
      </c>
    </row>
    <row r="25" ht="20.05" customHeight="1">
      <c r="B25" s="36"/>
      <c r="C25" s="22">
        <f>988.1-C24</f>
        <v>463.4</v>
      </c>
      <c r="D25" s="23">
        <f>152.1-D24</f>
        <v>65.59999999999999</v>
      </c>
      <c r="E25" s="23">
        <f>-23.8-E24</f>
        <v>-15.8</v>
      </c>
      <c r="F25" s="23">
        <v>-38.85</v>
      </c>
      <c r="G25" s="23">
        <v>-12.75</v>
      </c>
      <c r="H25" s="23">
        <v>11</v>
      </c>
      <c r="I25" s="23">
        <v>0</v>
      </c>
      <c r="J25" s="23">
        <f>-44.2-J24</f>
        <v>-60.9</v>
      </c>
      <c r="K25" s="23">
        <f>F25+D25+E25+G25</f>
        <v>-1.8</v>
      </c>
      <c r="L25" s="23">
        <f>AVERAGE(K22:K25)</f>
        <v>44.925</v>
      </c>
      <c r="M25" s="23"/>
      <c r="N25" s="23">
        <f>-(J25-F25-G25)+N24</f>
        <v>-1690.4</v>
      </c>
      <c r="O25" s="23"/>
      <c r="P25" s="23">
        <f>1+P24</f>
        <v>22</v>
      </c>
    </row>
    <row r="26" ht="20.05" customHeight="1">
      <c r="B26" s="36"/>
      <c r="C26" s="22">
        <f>1540.4-SUM(C24:C25)</f>
        <v>552.3</v>
      </c>
      <c r="D26" s="23">
        <f>257.9-SUM(D24:D25)</f>
        <v>105.8</v>
      </c>
      <c r="E26" s="23">
        <f>-28.4-SUM(E24:E25)</f>
        <v>-4.6</v>
      </c>
      <c r="F26" s="23">
        <v>-38.85</v>
      </c>
      <c r="G26" s="23">
        <v>-12.75</v>
      </c>
      <c r="H26" s="23">
        <v>11</v>
      </c>
      <c r="I26" s="23">
        <v>0</v>
      </c>
      <c r="J26" s="23">
        <f>-105.6-SUM(J24:J25)</f>
        <v>-61.4</v>
      </c>
      <c r="K26" s="23">
        <f>F26+D26+E26+G26</f>
        <v>49.6</v>
      </c>
      <c r="L26" s="23">
        <f>AVERAGE(K23:K26)</f>
        <v>65.52500000000001</v>
      </c>
      <c r="M26" s="23"/>
      <c r="N26" s="23">
        <f>-(J26-F26-G26)+N25</f>
        <v>-1680.6</v>
      </c>
      <c r="O26" s="23"/>
      <c r="P26" s="23">
        <f>1+P25</f>
        <v>23</v>
      </c>
    </row>
    <row r="27" ht="20.05" customHeight="1">
      <c r="B27" s="36"/>
      <c r="C27" s="22">
        <f>2068.2-C26-C25-C24</f>
        <v>527.8</v>
      </c>
      <c r="D27" s="23">
        <f>374.7-D26-D25-D24</f>
        <v>116.8</v>
      </c>
      <c r="E27" s="23">
        <f>-39.7-E26-E25-E24</f>
        <v>-11.3</v>
      </c>
      <c r="F27" s="23">
        <v>-38.85</v>
      </c>
      <c r="G27" s="23">
        <v>-12.75</v>
      </c>
      <c r="H27" s="23">
        <v>11</v>
      </c>
      <c r="I27" s="23">
        <v>0</v>
      </c>
      <c r="J27" s="23">
        <f>-162.4-J26-J25-J24</f>
        <v>-56.8</v>
      </c>
      <c r="K27" s="23">
        <f>F27+D27+E27+G27</f>
        <v>53.9</v>
      </c>
      <c r="L27" s="23">
        <f>AVERAGE(K24:K27)</f>
        <v>32.15</v>
      </c>
      <c r="M27" s="23"/>
      <c r="N27" s="23">
        <f>-(J27-F27-G27)+N26</f>
        <v>-1675.4</v>
      </c>
      <c r="O27" s="23"/>
      <c r="P27" s="23">
        <f>1+P26</f>
        <v>24</v>
      </c>
    </row>
    <row r="28" ht="20.05" customHeight="1">
      <c r="B28" s="37">
        <v>2022</v>
      </c>
      <c r="C28" s="22">
        <v>479.8</v>
      </c>
      <c r="D28" s="23">
        <v>76.59999999999999</v>
      </c>
      <c r="E28" s="23">
        <v>-3.6</v>
      </c>
      <c r="F28" s="23">
        <f>-40-0.5</f>
        <v>-40.5</v>
      </c>
      <c r="G28" s="39">
        <v>-18.1</v>
      </c>
      <c r="H28" s="23">
        <f>J28-I28-F28-G28</f>
        <v>-14.3</v>
      </c>
      <c r="I28" s="23">
        <v>0</v>
      </c>
      <c r="J28" s="23">
        <v>-72.90000000000001</v>
      </c>
      <c r="K28" s="23">
        <f>F28+D28+E28+G28</f>
        <v>14.4</v>
      </c>
      <c r="L28" s="23">
        <f>AVERAGE(K25:K28)</f>
        <v>29.025</v>
      </c>
      <c r="M28" s="23">
        <v>91.36526518625099</v>
      </c>
      <c r="N28" s="23">
        <f>-(J28-F28-G28)+N27</f>
        <v>-1661.1</v>
      </c>
      <c r="O28" s="23">
        <v>-1388.812708411930</v>
      </c>
      <c r="P28" s="23">
        <f>1+P27</f>
        <v>25</v>
      </c>
    </row>
    <row r="29" ht="20.05" customHeight="1">
      <c r="B29" s="36"/>
      <c r="C29" s="22"/>
      <c r="D29" s="23"/>
      <c r="E29" s="23"/>
      <c r="F29" s="23"/>
      <c r="G29" s="29"/>
      <c r="H29" s="23"/>
      <c r="I29" s="23"/>
      <c r="J29" s="23"/>
      <c r="K29" s="23"/>
      <c r="L29" s="29"/>
      <c r="M29" s="23">
        <f>SUM('Model '!G9:G11)</f>
        <v>57.929272184915</v>
      </c>
      <c r="N29" s="29"/>
      <c r="O29" s="23">
        <f>'Model '!G34</f>
        <v>-1389.030926962660</v>
      </c>
      <c r="P29" s="23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5625" style="40" customWidth="1"/>
    <col min="2" max="2" width="7.08594" style="40" customWidth="1"/>
    <col min="3" max="11" width="9.98438" style="40" customWidth="1"/>
    <col min="12" max="16384" width="16.3516" style="40" customWidth="1"/>
  </cols>
  <sheetData>
    <row r="1" ht="61.8" customHeight="1"/>
    <row r="2" ht="27.65" customHeight="1">
      <c r="B2" t="s" s="2">
        <v>55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56</v>
      </c>
      <c r="D3" t="s" s="6">
        <v>57</v>
      </c>
      <c r="E3" t="s" s="6">
        <v>58</v>
      </c>
      <c r="F3" t="s" s="6">
        <v>25</v>
      </c>
      <c r="G3" t="s" s="6">
        <v>12</v>
      </c>
      <c r="H3" t="s" s="6">
        <v>51</v>
      </c>
      <c r="I3" t="s" s="6">
        <v>27</v>
      </c>
      <c r="J3" t="s" s="6">
        <v>59</v>
      </c>
      <c r="K3" t="s" s="6">
        <v>35</v>
      </c>
    </row>
    <row r="4" ht="20.25" customHeight="1">
      <c r="B4" s="32">
        <v>2016</v>
      </c>
      <c r="C4" s="33">
        <v>984</v>
      </c>
      <c r="D4" s="34">
        <v>3411</v>
      </c>
      <c r="E4" s="34">
        <f>D4-C4</f>
        <v>2427</v>
      </c>
      <c r="F4" s="34">
        <f>759+0.7+0.9</f>
        <v>760.6</v>
      </c>
      <c r="G4" s="34">
        <v>435</v>
      </c>
      <c r="H4" s="34">
        <v>2976</v>
      </c>
      <c r="I4" s="34">
        <f>G4+H4-C4-E4</f>
        <v>0</v>
      </c>
      <c r="J4" s="34">
        <f>C4-G4</f>
        <v>549</v>
      </c>
      <c r="K4" s="34"/>
    </row>
    <row r="5" ht="20.05" customHeight="1">
      <c r="B5" s="36"/>
      <c r="C5" s="22">
        <v>484</v>
      </c>
      <c r="D5" s="23">
        <v>3710</v>
      </c>
      <c r="E5" s="23">
        <f>D5-C5</f>
        <v>3226</v>
      </c>
      <c r="F5" s="23">
        <f>782+0.7+1.1</f>
        <v>783.8</v>
      </c>
      <c r="G5" s="23">
        <v>761</v>
      </c>
      <c r="H5" s="23">
        <v>2949</v>
      </c>
      <c r="I5" s="23">
        <f>G5+H5-C5-E5</f>
        <v>0</v>
      </c>
      <c r="J5" s="23">
        <f>C5-G5</f>
        <v>-277</v>
      </c>
      <c r="K5" s="23"/>
    </row>
    <row r="6" ht="20.05" customHeight="1">
      <c r="B6" s="36"/>
      <c r="C6" s="22">
        <v>426</v>
      </c>
      <c r="D6" s="23">
        <v>3961</v>
      </c>
      <c r="E6" s="23">
        <f>D6-C6</f>
        <v>3535</v>
      </c>
      <c r="F6" s="23">
        <f>804+2</f>
        <v>806</v>
      </c>
      <c r="G6" s="23">
        <v>939</v>
      </c>
      <c r="H6" s="23">
        <v>3022</v>
      </c>
      <c r="I6" s="23">
        <f>G6+H6-C6-E6</f>
        <v>0</v>
      </c>
      <c r="J6" s="23">
        <f>C6-G6</f>
        <v>-513</v>
      </c>
      <c r="K6" s="23"/>
    </row>
    <row r="7" ht="20.05" customHeight="1">
      <c r="B7" s="36"/>
      <c r="C7" s="22">
        <v>337</v>
      </c>
      <c r="D7" s="23">
        <v>4369</v>
      </c>
      <c r="E7" s="23">
        <f>D7-C7</f>
        <v>4032</v>
      </c>
      <c r="F7" s="23">
        <f>2.3+826.5</f>
        <v>828.8</v>
      </c>
      <c r="G7" s="23">
        <v>1248</v>
      </c>
      <c r="H7" s="23">
        <v>3121</v>
      </c>
      <c r="I7" s="23">
        <f>G7+H7-C7-E7</f>
        <v>0</v>
      </c>
      <c r="J7" s="23">
        <f>C7-G7</f>
        <v>-911</v>
      </c>
      <c r="K7" s="23"/>
    </row>
    <row r="8" ht="20.05" customHeight="1">
      <c r="B8" s="37">
        <v>2017</v>
      </c>
      <c r="C8" s="22">
        <v>331</v>
      </c>
      <c r="D8" s="23">
        <v>4577</v>
      </c>
      <c r="E8" s="23">
        <f>D8-C8</f>
        <v>4246</v>
      </c>
      <c r="F8" s="23">
        <f>849+2</f>
        <v>851</v>
      </c>
      <c r="G8" s="23">
        <v>1424</v>
      </c>
      <c r="H8" s="23">
        <v>3153</v>
      </c>
      <c r="I8" s="23">
        <f>G8+H8-C8-E8</f>
        <v>0</v>
      </c>
      <c r="J8" s="23">
        <f>C8-G8</f>
        <v>-1093</v>
      </c>
      <c r="K8" s="23"/>
    </row>
    <row r="9" ht="20.05" customHeight="1">
      <c r="B9" s="36"/>
      <c r="C9" s="22">
        <v>392</v>
      </c>
      <c r="D9" s="23">
        <v>4772</v>
      </c>
      <c r="E9" s="23">
        <f>D9-C9</f>
        <v>4380</v>
      </c>
      <c r="F9" s="23">
        <f>871+3</f>
        <v>874</v>
      </c>
      <c r="G9" s="23">
        <v>1495</v>
      </c>
      <c r="H9" s="23">
        <v>3277</v>
      </c>
      <c r="I9" s="23">
        <f>G9+H9-C9-E9</f>
        <v>0</v>
      </c>
      <c r="J9" s="23">
        <f>C9-G9</f>
        <v>-1103</v>
      </c>
      <c r="K9" s="23"/>
    </row>
    <row r="10" ht="20.05" customHeight="1">
      <c r="B10" s="36"/>
      <c r="C10" s="22">
        <v>430</v>
      </c>
      <c r="D10" s="23">
        <v>4870</v>
      </c>
      <c r="E10" s="23">
        <f>D10-C10</f>
        <v>4440</v>
      </c>
      <c r="F10" s="23">
        <f>908+3</f>
        <v>911</v>
      </c>
      <c r="G10" s="23">
        <v>1546</v>
      </c>
      <c r="H10" s="23">
        <v>3324</v>
      </c>
      <c r="I10" s="23">
        <f>G10+H10-C10-E10</f>
        <v>0</v>
      </c>
      <c r="J10" s="23">
        <f>C10-G10</f>
        <v>-1116</v>
      </c>
      <c r="K10" s="23"/>
    </row>
    <row r="11" ht="20.05" customHeight="1">
      <c r="B11" s="36"/>
      <c r="C11" s="22">
        <v>486</v>
      </c>
      <c r="D11" s="23">
        <v>5061</v>
      </c>
      <c r="E11" s="23">
        <f>D11-C11</f>
        <v>4575</v>
      </c>
      <c r="F11" s="23">
        <f>975.6+3.2</f>
        <v>978.8</v>
      </c>
      <c r="G11" s="23">
        <v>1648</v>
      </c>
      <c r="H11" s="23">
        <v>3413</v>
      </c>
      <c r="I11" s="23">
        <f>G11+H11-C11-E11</f>
        <v>0</v>
      </c>
      <c r="J11" s="23">
        <f>C11-G11</f>
        <v>-1162</v>
      </c>
      <c r="K11" s="23"/>
    </row>
    <row r="12" ht="20.05" customHeight="1">
      <c r="B12" s="37">
        <v>2018</v>
      </c>
      <c r="C12" s="22">
        <v>429</v>
      </c>
      <c r="D12" s="23">
        <v>5235</v>
      </c>
      <c r="E12" s="23">
        <f>D12-C12</f>
        <v>4806</v>
      </c>
      <c r="F12" s="23">
        <f>1026+3.5</f>
        <v>1029.5</v>
      </c>
      <c r="G12" s="23">
        <v>1849</v>
      </c>
      <c r="H12" s="23">
        <v>3386</v>
      </c>
      <c r="I12" s="23">
        <f>G12+H12-C12-E12</f>
        <v>0</v>
      </c>
      <c r="J12" s="23">
        <f>C12-G12</f>
        <v>-1420</v>
      </c>
      <c r="K12" s="23"/>
    </row>
    <row r="13" ht="20.05" customHeight="1">
      <c r="B13" s="36"/>
      <c r="C13" s="22">
        <v>385</v>
      </c>
      <c r="D13" s="23">
        <v>5284</v>
      </c>
      <c r="E13" s="23">
        <f>D13-C13</f>
        <v>4899</v>
      </c>
      <c r="F13" s="23">
        <f>1063+4</f>
        <v>1067</v>
      </c>
      <c r="G13" s="23">
        <v>1866</v>
      </c>
      <c r="H13" s="23">
        <v>3418</v>
      </c>
      <c r="I13" s="23">
        <f>G13+H13-C13-E13</f>
        <v>0</v>
      </c>
      <c r="J13" s="23">
        <f>C13-G13</f>
        <v>-1481</v>
      </c>
      <c r="K13" s="23"/>
    </row>
    <row r="14" ht="20.05" customHeight="1">
      <c r="B14" s="36"/>
      <c r="C14" s="22">
        <v>340</v>
      </c>
      <c r="D14" s="23">
        <v>5425</v>
      </c>
      <c r="E14" s="23">
        <f>D14-C14</f>
        <v>5085</v>
      </c>
      <c r="F14" s="23">
        <f>1119+6</f>
        <v>1125</v>
      </c>
      <c r="G14" s="23">
        <v>1993</v>
      </c>
      <c r="H14" s="23">
        <v>3432</v>
      </c>
      <c r="I14" s="23">
        <f>G14+H14-C14-E14</f>
        <v>0</v>
      </c>
      <c r="J14" s="23">
        <f>C14-G14</f>
        <v>-1653</v>
      </c>
      <c r="K14" s="23"/>
    </row>
    <row r="15" ht="20.05" customHeight="1">
      <c r="B15" s="36"/>
      <c r="C15" s="22">
        <v>466</v>
      </c>
      <c r="D15" s="23">
        <v>5538</v>
      </c>
      <c r="E15" s="23">
        <f>D15-C15</f>
        <v>5072</v>
      </c>
      <c r="F15" s="23">
        <f>1122+23</f>
        <v>1145</v>
      </c>
      <c r="G15" s="23">
        <v>2064</v>
      </c>
      <c r="H15" s="23">
        <v>3474</v>
      </c>
      <c r="I15" s="23">
        <f>G15+H15-C15-E15</f>
        <v>0</v>
      </c>
      <c r="J15" s="23">
        <f>C15-G15</f>
        <v>-1598</v>
      </c>
      <c r="K15" s="23"/>
    </row>
    <row r="16" ht="20.05" customHeight="1">
      <c r="B16" s="37">
        <v>2019</v>
      </c>
      <c r="C16" s="22">
        <v>147</v>
      </c>
      <c r="D16" s="23">
        <v>5476</v>
      </c>
      <c r="E16" s="23">
        <f>D16-C16</f>
        <v>5329</v>
      </c>
      <c r="F16" s="23">
        <f>1154+35</f>
        <v>1189</v>
      </c>
      <c r="G16" s="23">
        <v>2001</v>
      </c>
      <c r="H16" s="23">
        <v>3475</v>
      </c>
      <c r="I16" s="23">
        <f>G16+H16-C16-E16</f>
        <v>0</v>
      </c>
      <c r="J16" s="23">
        <f>C16-G16</f>
        <v>-1854</v>
      </c>
      <c r="K16" s="23"/>
    </row>
    <row r="17" ht="20.05" customHeight="1">
      <c r="B17" s="36"/>
      <c r="C17" s="22">
        <v>173</v>
      </c>
      <c r="D17" s="23">
        <v>5583</v>
      </c>
      <c r="E17" s="23">
        <f>D17-C17</f>
        <v>5410</v>
      </c>
      <c r="F17" s="23">
        <f>1184+32</f>
        <v>1216</v>
      </c>
      <c r="G17" s="23">
        <v>2127</v>
      </c>
      <c r="H17" s="23">
        <v>3456</v>
      </c>
      <c r="I17" s="23">
        <f>G17+H17-C17-E17</f>
        <v>0</v>
      </c>
      <c r="J17" s="23">
        <f>C17-G17</f>
        <v>-1954</v>
      </c>
      <c r="K17" s="23"/>
    </row>
    <row r="18" ht="20.05" customHeight="1">
      <c r="B18" s="36"/>
      <c r="C18" s="22">
        <v>134</v>
      </c>
      <c r="D18" s="23">
        <v>5606</v>
      </c>
      <c r="E18" s="23">
        <f>D18-C18</f>
        <v>5472</v>
      </c>
      <c r="F18" s="23">
        <f>1217+47</f>
        <v>1264</v>
      </c>
      <c r="G18" s="23">
        <v>2138</v>
      </c>
      <c r="H18" s="23">
        <v>3468</v>
      </c>
      <c r="I18" s="23">
        <f>G18+H18-C18-E18</f>
        <v>0</v>
      </c>
      <c r="J18" s="23">
        <f>C18-G18</f>
        <v>-2004</v>
      </c>
      <c r="K18" s="23"/>
    </row>
    <row r="19" ht="20.05" customHeight="1">
      <c r="B19" s="36"/>
      <c r="C19" s="22">
        <v>186</v>
      </c>
      <c r="D19" s="23">
        <v>5571</v>
      </c>
      <c r="E19" s="23">
        <f>D19-C19</f>
        <v>5385</v>
      </c>
      <c r="F19" s="23">
        <f>1253+26+65</f>
        <v>1344</v>
      </c>
      <c r="G19" s="23">
        <v>2089</v>
      </c>
      <c r="H19" s="23">
        <v>3482</v>
      </c>
      <c r="I19" s="23">
        <f>G19+H19-C19-E19</f>
        <v>0</v>
      </c>
      <c r="J19" s="23">
        <f>C19-G19</f>
        <v>-1903</v>
      </c>
      <c r="K19" s="23"/>
    </row>
    <row r="20" ht="20.05" customHeight="1">
      <c r="B20" s="37">
        <v>2020</v>
      </c>
      <c r="C20" s="22">
        <v>76</v>
      </c>
      <c r="D20" s="23">
        <v>5651</v>
      </c>
      <c r="E20" s="23">
        <f>D20-C20</f>
        <v>5575</v>
      </c>
      <c r="F20" s="23">
        <f>22+1285+79</f>
        <v>1386</v>
      </c>
      <c r="G20" s="23">
        <v>2245</v>
      </c>
      <c r="H20" s="23">
        <v>3406</v>
      </c>
      <c r="I20" s="23">
        <f>G20+H20-C20-E20</f>
        <v>0</v>
      </c>
      <c r="J20" s="23">
        <f>C20-G20</f>
        <v>-2169</v>
      </c>
      <c r="K20" s="23"/>
    </row>
    <row r="21" ht="20.05" customHeight="1">
      <c r="B21" s="36"/>
      <c r="C21" s="22">
        <v>53</v>
      </c>
      <c r="D21" s="23">
        <v>5610</v>
      </c>
      <c r="E21" s="23">
        <f>D21-C21</f>
        <v>5557</v>
      </c>
      <c r="F21" s="23">
        <f>1318+33+94</f>
        <v>1445</v>
      </c>
      <c r="G21" s="23">
        <v>2282</v>
      </c>
      <c r="H21" s="23">
        <v>3328</v>
      </c>
      <c r="I21" s="23">
        <f>G21+H21-C21-E21</f>
        <v>0</v>
      </c>
      <c r="J21" s="23">
        <f>C21-G21</f>
        <v>-2229</v>
      </c>
      <c r="K21" s="23"/>
    </row>
    <row r="22" ht="20.05" customHeight="1">
      <c r="B22" s="36"/>
      <c r="C22" s="22">
        <v>181</v>
      </c>
      <c r="D22" s="23">
        <v>5739</v>
      </c>
      <c r="E22" s="23">
        <f>D22-C22</f>
        <v>5558</v>
      </c>
      <c r="F22" s="23">
        <f>11+1358+102</f>
        <v>1471</v>
      </c>
      <c r="G22" s="23">
        <v>2387</v>
      </c>
      <c r="H22" s="23">
        <v>3352</v>
      </c>
      <c r="I22" s="23">
        <f>G22+H22-C22-E22</f>
        <v>0</v>
      </c>
      <c r="J22" s="23">
        <f>C22-G22</f>
        <v>-2206</v>
      </c>
      <c r="K22" s="23"/>
    </row>
    <row r="23" ht="20.05" customHeight="1">
      <c r="B23" s="36"/>
      <c r="C23" s="22">
        <v>362</v>
      </c>
      <c r="D23" s="23">
        <v>5737</v>
      </c>
      <c r="E23" s="23">
        <f>D23-C23</f>
        <v>5375</v>
      </c>
      <c r="F23" s="23">
        <f>106+1413</f>
        <v>1519</v>
      </c>
      <c r="G23" s="23">
        <v>2329</v>
      </c>
      <c r="H23" s="23">
        <v>3408</v>
      </c>
      <c r="I23" s="23">
        <f>G23+H23-C23-E23</f>
        <v>0</v>
      </c>
      <c r="J23" s="23">
        <f>C23-G23</f>
        <v>-1967</v>
      </c>
      <c r="K23" s="23"/>
    </row>
    <row r="24" ht="20.05" customHeight="1">
      <c r="B24" s="37">
        <v>2021</v>
      </c>
      <c r="C24" s="22">
        <v>458</v>
      </c>
      <c r="D24" s="23">
        <v>5875</v>
      </c>
      <c r="E24" s="23">
        <f>D24-C24</f>
        <v>5417</v>
      </c>
      <c r="F24" s="23">
        <f>116+1456</f>
        <v>1572</v>
      </c>
      <c r="G24" s="23">
        <v>2452</v>
      </c>
      <c r="H24" s="23">
        <v>3423</v>
      </c>
      <c r="I24" s="23">
        <f>G24+H24-C24-E24</f>
        <v>0</v>
      </c>
      <c r="J24" s="23">
        <f>C24-G24</f>
        <v>-1994</v>
      </c>
      <c r="K24" s="23"/>
    </row>
    <row r="25" ht="20.05" customHeight="1">
      <c r="B25" s="36"/>
      <c r="C25" s="22">
        <v>446</v>
      </c>
      <c r="D25" s="23">
        <v>5756</v>
      </c>
      <c r="E25" s="23">
        <f>D25-C25</f>
        <v>5310</v>
      </c>
      <c r="F25" s="23">
        <f>1495+126</f>
        <v>1621</v>
      </c>
      <c r="G25" s="23">
        <v>2351</v>
      </c>
      <c r="H25" s="23">
        <v>3405</v>
      </c>
      <c r="I25" s="23">
        <f>G25+H25-C25-E25</f>
        <v>0</v>
      </c>
      <c r="J25" s="23">
        <f>C25-G25</f>
        <v>-1905</v>
      </c>
      <c r="K25" s="23"/>
    </row>
    <row r="26" ht="20.05" customHeight="1">
      <c r="B26" s="36"/>
      <c r="C26" s="22">
        <v>504</v>
      </c>
      <c r="D26" s="23">
        <v>5816</v>
      </c>
      <c r="E26" s="23">
        <f>D26-C26</f>
        <v>5312</v>
      </c>
      <c r="F26" s="23">
        <f>1539+137</f>
        <v>1676</v>
      </c>
      <c r="G26" s="23">
        <v>2399</v>
      </c>
      <c r="H26" s="23">
        <v>3417</v>
      </c>
      <c r="I26" s="23">
        <f>G26+H26-C26-E26</f>
        <v>0</v>
      </c>
      <c r="J26" s="23">
        <f>C26-G26</f>
        <v>-1895</v>
      </c>
      <c r="K26" s="23"/>
    </row>
    <row r="27" ht="20.05" customHeight="1">
      <c r="B27" s="36"/>
      <c r="C27" s="22">
        <v>534.8</v>
      </c>
      <c r="D27" s="23">
        <v>5817.8</v>
      </c>
      <c r="E27" s="23">
        <f>D27-C27</f>
        <v>5283</v>
      </c>
      <c r="F27" s="23">
        <f>148+1582</f>
        <v>1730</v>
      </c>
      <c r="G27" s="23">
        <v>2351.5</v>
      </c>
      <c r="H27" s="23">
        <f>D27-G27</f>
        <v>3466.3</v>
      </c>
      <c r="I27" s="23">
        <f>G27+H27-C27-E27</f>
        <v>0</v>
      </c>
      <c r="J27" s="23">
        <f>C27-G27</f>
        <v>-1816.7</v>
      </c>
      <c r="K27" s="23"/>
    </row>
    <row r="28" ht="20.05" customHeight="1">
      <c r="B28" s="37">
        <v>2022</v>
      </c>
      <c r="C28" s="22">
        <v>536</v>
      </c>
      <c r="D28" s="23">
        <v>5867</v>
      </c>
      <c r="E28" s="23">
        <f>D28-C28</f>
        <v>5331</v>
      </c>
      <c r="F28" s="23">
        <f>156+1624</f>
        <v>1780</v>
      </c>
      <c r="G28" s="23">
        <v>2390</v>
      </c>
      <c r="H28" s="23">
        <v>3477</v>
      </c>
      <c r="I28" s="23">
        <f>G28+H28-C28-E28</f>
        <v>0</v>
      </c>
      <c r="J28" s="23">
        <f>C28-G28</f>
        <v>-1854</v>
      </c>
      <c r="K28" s="23">
        <v>-1520.208895888350</v>
      </c>
    </row>
    <row r="29" ht="20.05" customHeight="1">
      <c r="B29" s="36"/>
      <c r="C29" s="22"/>
      <c r="D29" s="23"/>
      <c r="E29" s="23"/>
      <c r="F29" s="23"/>
      <c r="G29" s="23"/>
      <c r="H29" s="23"/>
      <c r="I29" s="23"/>
      <c r="J29" s="23"/>
      <c r="K29" s="23">
        <f>'Model '!G32</f>
        <v>-1581.930926962650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9844" style="41" customWidth="1"/>
    <col min="2" max="2" width="7.75" style="41" customWidth="1"/>
    <col min="3" max="5" width="9.55469" style="41" customWidth="1"/>
    <col min="6" max="16384" width="16.3516" style="41" customWidth="1"/>
  </cols>
  <sheetData>
    <row r="1" ht="38" customHeight="1"/>
    <row r="2" ht="27.65" customHeight="1">
      <c r="B2" t="s" s="2">
        <v>60</v>
      </c>
      <c r="C2" s="2"/>
      <c r="D2" s="2"/>
      <c r="E2" s="2"/>
    </row>
    <row r="3" ht="20.25" customHeight="1">
      <c r="B3" s="4"/>
      <c r="C3" t="s" s="6">
        <v>61</v>
      </c>
      <c r="D3" t="s" s="6">
        <v>38</v>
      </c>
      <c r="E3" t="s" s="6">
        <v>62</v>
      </c>
    </row>
    <row r="4" ht="20.25" customHeight="1">
      <c r="B4" s="32">
        <v>2018</v>
      </c>
      <c r="C4" s="33">
        <v>4100</v>
      </c>
      <c r="D4" s="34"/>
      <c r="E4" s="34"/>
    </row>
    <row r="5" ht="20.05" customHeight="1">
      <c r="B5" s="36"/>
      <c r="C5" s="22">
        <v>3660</v>
      </c>
      <c r="D5" s="23"/>
      <c r="E5" s="23"/>
    </row>
    <row r="6" ht="20.05" customHeight="1">
      <c r="B6" s="36"/>
      <c r="C6" s="22">
        <v>2740</v>
      </c>
      <c r="D6" s="23"/>
      <c r="E6" s="23"/>
    </row>
    <row r="7" ht="20.05" customHeight="1">
      <c r="B7" s="36"/>
      <c r="C7" s="22">
        <v>1750</v>
      </c>
      <c r="D7" s="23"/>
      <c r="E7" s="23"/>
    </row>
    <row r="8" ht="20.05" customHeight="1">
      <c r="B8" s="37">
        <v>2019</v>
      </c>
      <c r="C8" s="22">
        <v>1300</v>
      </c>
      <c r="D8" s="23"/>
      <c r="E8" s="23"/>
    </row>
    <row r="9" ht="20.05" customHeight="1">
      <c r="B9" s="36"/>
      <c r="C9" s="22">
        <v>1125</v>
      </c>
      <c r="D9" s="23"/>
      <c r="E9" s="23"/>
    </row>
    <row r="10" ht="20.05" customHeight="1">
      <c r="B10" s="36"/>
      <c r="C10" s="22">
        <v>640</v>
      </c>
      <c r="D10" s="23"/>
      <c r="E10" s="23"/>
    </row>
    <row r="11" ht="20.05" customHeight="1">
      <c r="B11" s="36"/>
      <c r="C11" s="22">
        <v>440</v>
      </c>
      <c r="D11" s="23"/>
      <c r="E11" s="23"/>
    </row>
    <row r="12" ht="20.05" customHeight="1">
      <c r="B12" s="37">
        <v>2020</v>
      </c>
      <c r="C12" s="22">
        <v>197</v>
      </c>
      <c r="D12" s="23"/>
      <c r="E12" s="23"/>
    </row>
    <row r="13" ht="20.05" customHeight="1">
      <c r="B13" s="36"/>
      <c r="C13" s="22">
        <v>308</v>
      </c>
      <c r="D13" s="23"/>
      <c r="E13" s="23"/>
    </row>
    <row r="14" ht="20.05" customHeight="1">
      <c r="B14" s="36"/>
      <c r="C14" s="22">
        <v>460</v>
      </c>
      <c r="D14" s="23"/>
      <c r="E14" s="23"/>
    </row>
    <row r="15" ht="20.05" customHeight="1">
      <c r="B15" s="36"/>
      <c r="C15" s="22">
        <v>1065</v>
      </c>
      <c r="D15" s="23"/>
      <c r="E15" s="23"/>
    </row>
    <row r="16" ht="20.05" customHeight="1">
      <c r="B16" s="37">
        <v>2021</v>
      </c>
      <c r="C16" s="22">
        <v>820</v>
      </c>
      <c r="D16" s="23"/>
      <c r="E16" s="23"/>
    </row>
    <row r="17" ht="20.05" customHeight="1">
      <c r="B17" s="36"/>
      <c r="C17" s="22">
        <v>615</v>
      </c>
      <c r="D17" s="23"/>
      <c r="E17" s="23"/>
    </row>
    <row r="18" ht="20.05" customHeight="1">
      <c r="B18" s="36"/>
      <c r="C18" s="22">
        <v>755</v>
      </c>
      <c r="D18" s="23">
        <v>758.031444334581</v>
      </c>
      <c r="E18" s="29"/>
    </row>
    <row r="19" ht="20.05" customHeight="1">
      <c r="B19" s="36"/>
      <c r="C19" s="22">
        <v>620</v>
      </c>
      <c r="D19" s="23">
        <v>758.031444334581</v>
      </c>
      <c r="E19" s="29"/>
    </row>
    <row r="20" ht="20.05" customHeight="1">
      <c r="B20" s="37">
        <v>2022</v>
      </c>
      <c r="C20" s="22">
        <v>540</v>
      </c>
      <c r="D20" s="23">
        <v>1122</v>
      </c>
      <c r="E20" s="23"/>
    </row>
    <row r="21" ht="20.05" customHeight="1">
      <c r="B21" s="36"/>
      <c r="C21" s="22">
        <v>464</v>
      </c>
      <c r="D21" s="23">
        <v>809.475894698933</v>
      </c>
      <c r="E21" s="29"/>
    </row>
    <row r="22" ht="20.05" customHeight="1">
      <c r="B22" s="36"/>
      <c r="C22" s="22"/>
      <c r="D22" s="23">
        <f>'Model '!G45</f>
        <v>536.569556930566</v>
      </c>
      <c r="E22" s="23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S4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1.7656" style="42" customWidth="1"/>
    <col min="11" max="19" width="11.375" style="43" customWidth="1"/>
    <col min="20" max="16384" width="16.3516" style="43" customWidth="1"/>
  </cols>
  <sheetData>
    <row r="1" ht="27.65" customHeight="1">
      <c r="A1" t="s" s="2">
        <v>54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6">
        <v>1</v>
      </c>
      <c r="B2" t="s" s="6">
        <v>12</v>
      </c>
      <c r="C2" t="s" s="6">
        <v>51</v>
      </c>
      <c r="D2" t="s" s="6">
        <v>63</v>
      </c>
      <c r="E2" t="s" s="6">
        <v>12</v>
      </c>
      <c r="F2" t="s" s="6">
        <v>51</v>
      </c>
      <c r="G2" t="s" s="6">
        <v>63</v>
      </c>
      <c r="H2" s="4"/>
      <c r="I2" s="4"/>
      <c r="J2" s="4"/>
    </row>
    <row r="3" ht="20.25" customHeight="1">
      <c r="A3" s="32">
        <v>2000</v>
      </c>
      <c r="B3" s="33"/>
      <c r="C3" s="34"/>
      <c r="D3" s="34">
        <f>B3+C3</f>
        <v>0</v>
      </c>
      <c r="E3" s="34"/>
      <c r="F3" s="34"/>
      <c r="G3" s="34">
        <f>D3</f>
        <v>0</v>
      </c>
      <c r="H3" s="10"/>
      <c r="I3" s="10"/>
      <c r="J3" s="10"/>
    </row>
    <row r="4" ht="20.05" customHeight="1">
      <c r="A4" s="37">
        <f>1+$A3</f>
        <v>2001</v>
      </c>
      <c r="B4" s="22"/>
      <c r="C4" s="23"/>
      <c r="D4" s="23">
        <f>B4+C4</f>
        <v>0</v>
      </c>
      <c r="E4" s="23"/>
      <c r="F4" s="23"/>
      <c r="G4" s="23">
        <f>D4+G3</f>
        <v>0</v>
      </c>
      <c r="H4" s="29"/>
      <c r="I4" s="29"/>
      <c r="J4" s="29"/>
    </row>
    <row r="5" ht="20.05" customHeight="1">
      <c r="A5" s="37">
        <f>1+$A4</f>
        <v>2002</v>
      </c>
      <c r="B5" s="22"/>
      <c r="C5" s="23"/>
      <c r="D5" s="23">
        <f>B5+C5</f>
        <v>0</v>
      </c>
      <c r="E5" s="23"/>
      <c r="F5" s="23"/>
      <c r="G5" s="23">
        <f>D5+G4</f>
        <v>0</v>
      </c>
      <c r="H5" s="29"/>
      <c r="I5" s="29"/>
      <c r="J5" s="29"/>
    </row>
    <row r="6" ht="20.05" customHeight="1">
      <c r="A6" s="37">
        <f>1+$A5</f>
        <v>2003</v>
      </c>
      <c r="B6" s="22"/>
      <c r="C6" s="23"/>
      <c r="D6" s="23">
        <f>B6+C6</f>
        <v>0</v>
      </c>
      <c r="E6" s="23"/>
      <c r="F6" s="23"/>
      <c r="G6" s="23">
        <f>D6+G5</f>
        <v>0</v>
      </c>
      <c r="H6" s="29"/>
      <c r="I6" s="29"/>
      <c r="J6" s="29"/>
    </row>
    <row r="7" ht="20.05" customHeight="1">
      <c r="A7" s="37">
        <f>1+$A6</f>
        <v>2004</v>
      </c>
      <c r="B7" s="22"/>
      <c r="C7" s="23"/>
      <c r="D7" s="23">
        <f>B7+C7</f>
        <v>0</v>
      </c>
      <c r="E7" s="23"/>
      <c r="F7" s="23"/>
      <c r="G7" s="23">
        <f>D7+G6</f>
        <v>0</v>
      </c>
      <c r="H7" s="29"/>
      <c r="I7" s="29"/>
      <c r="J7" s="29"/>
    </row>
    <row r="8" ht="20.05" customHeight="1">
      <c r="A8" s="37">
        <f>1+$A7</f>
        <v>2005</v>
      </c>
      <c r="B8" s="22"/>
      <c r="C8" s="23"/>
      <c r="D8" s="23">
        <f>B8+C8</f>
        <v>0</v>
      </c>
      <c r="E8" s="23"/>
      <c r="F8" s="23"/>
      <c r="G8" s="23">
        <f>D8+G7</f>
        <v>0</v>
      </c>
      <c r="H8" s="29"/>
      <c r="I8" s="29"/>
      <c r="J8" s="29"/>
    </row>
    <row r="9" ht="20.05" customHeight="1">
      <c r="A9" s="37">
        <f>1+$A8</f>
        <v>2006</v>
      </c>
      <c r="B9" s="22"/>
      <c r="C9" s="23"/>
      <c r="D9" s="23">
        <f>B9+C9</f>
        <v>0</v>
      </c>
      <c r="E9" s="23"/>
      <c r="F9" s="23"/>
      <c r="G9" s="23">
        <f>D9+G8</f>
        <v>0</v>
      </c>
      <c r="H9" s="29"/>
      <c r="I9" s="29"/>
      <c r="J9" s="29"/>
    </row>
    <row r="10" ht="20.05" customHeight="1">
      <c r="A10" s="37">
        <f>1+$A9</f>
        <v>2007</v>
      </c>
      <c r="B10" s="22"/>
      <c r="C10" s="23"/>
      <c r="D10" s="23">
        <f>B10+C10</f>
        <v>0</v>
      </c>
      <c r="E10" s="23"/>
      <c r="F10" s="23"/>
      <c r="G10" s="23">
        <f>D10+G9</f>
        <v>0</v>
      </c>
      <c r="H10" s="29"/>
      <c r="I10" s="29"/>
      <c r="J10" s="29"/>
    </row>
    <row r="11" ht="20.05" customHeight="1">
      <c r="A11" s="37">
        <f>1+$A10</f>
        <v>2008</v>
      </c>
      <c r="B11" s="22"/>
      <c r="C11" s="23"/>
      <c r="D11" s="23">
        <f>B11+C11</f>
        <v>0</v>
      </c>
      <c r="E11" s="23"/>
      <c r="F11" s="23"/>
      <c r="G11" s="23">
        <f>D11+G10</f>
        <v>0</v>
      </c>
      <c r="H11" s="29"/>
      <c r="I11" s="29"/>
      <c r="J11" s="29"/>
    </row>
    <row r="12" ht="20.05" customHeight="1">
      <c r="A12" s="37">
        <f>1+$A11</f>
        <v>2009</v>
      </c>
      <c r="B12" s="22"/>
      <c r="C12" s="23"/>
      <c r="D12" s="23">
        <f>B12+C12</f>
        <v>0</v>
      </c>
      <c r="E12" s="23"/>
      <c r="F12" s="23"/>
      <c r="G12" s="23">
        <f>D12+G11</f>
        <v>0</v>
      </c>
      <c r="H12" s="29"/>
      <c r="I12" s="29"/>
      <c r="J12" s="29"/>
    </row>
    <row r="13" ht="20.05" customHeight="1">
      <c r="A13" s="37">
        <f>1+$A12</f>
        <v>2010</v>
      </c>
      <c r="B13" s="22">
        <v>-54</v>
      </c>
      <c r="C13" s="23">
        <v>-95</v>
      </c>
      <c r="D13" s="23">
        <f>B13+C13</f>
        <v>-149</v>
      </c>
      <c r="E13" s="23">
        <f>B13+E12</f>
        <v>-54</v>
      </c>
      <c r="F13" s="23">
        <f>C13+F12</f>
        <v>-95</v>
      </c>
      <c r="G13" s="23">
        <f>D13+G12</f>
        <v>-149</v>
      </c>
      <c r="H13" s="29"/>
      <c r="I13" s="29"/>
      <c r="J13" s="29"/>
    </row>
    <row r="14" ht="20.05" customHeight="1">
      <c r="A14" s="37">
        <f>1+$A13</f>
        <v>2011</v>
      </c>
      <c r="B14" s="22"/>
      <c r="C14" s="23">
        <v>-50</v>
      </c>
      <c r="D14" s="23">
        <f>B14+C14</f>
        <v>-50</v>
      </c>
      <c r="E14" s="23">
        <f>B14+E13</f>
        <v>-54</v>
      </c>
      <c r="F14" s="23">
        <f>C14+F13</f>
        <v>-145</v>
      </c>
      <c r="G14" s="23">
        <f>D14+G13</f>
        <v>-199</v>
      </c>
      <c r="H14" s="29"/>
      <c r="I14" s="29"/>
      <c r="J14" s="29"/>
    </row>
    <row r="15" ht="20.05" customHeight="1">
      <c r="A15" s="37">
        <f>1+$A14</f>
        <v>2012</v>
      </c>
      <c r="B15" s="22">
        <v>2.8</v>
      </c>
      <c r="C15" s="23">
        <v>-50</v>
      </c>
      <c r="D15" s="23">
        <f>B15+C15</f>
        <v>-47.2</v>
      </c>
      <c r="E15" s="23">
        <f>B15+E14</f>
        <v>-51.2</v>
      </c>
      <c r="F15" s="23">
        <f>C15+F14</f>
        <v>-195</v>
      </c>
      <c r="G15" s="23">
        <f>D15+G14</f>
        <v>-246.2</v>
      </c>
      <c r="H15" s="29"/>
      <c r="I15" s="29"/>
      <c r="J15" s="29"/>
    </row>
    <row r="16" ht="20.05" customHeight="1">
      <c r="A16" s="37">
        <f>1+$A15</f>
        <v>2013</v>
      </c>
      <c r="B16" s="22"/>
      <c r="C16" s="23">
        <f>1286-60</f>
        <v>1226</v>
      </c>
      <c r="D16" s="23">
        <f>B16+C16</f>
        <v>1226</v>
      </c>
      <c r="E16" s="23">
        <f>B16+E15</f>
        <v>-51.2</v>
      </c>
      <c r="F16" s="23">
        <f>C16+F15</f>
        <v>1031</v>
      </c>
      <c r="G16" s="23">
        <f>D16+G15</f>
        <v>979.8</v>
      </c>
      <c r="H16" s="29"/>
      <c r="I16" s="29"/>
      <c r="J16" s="29"/>
    </row>
    <row r="17" ht="20.05" customHeight="1">
      <c r="A17" s="37">
        <f>1+$A16</f>
        <v>2014</v>
      </c>
      <c r="B17" s="22"/>
      <c r="C17" s="23">
        <v>-78</v>
      </c>
      <c r="D17" s="23">
        <f>B17+C17</f>
        <v>-78</v>
      </c>
      <c r="E17" s="23">
        <f>B17+E16</f>
        <v>-51.2</v>
      </c>
      <c r="F17" s="23">
        <f>C17+F16</f>
        <v>953</v>
      </c>
      <c r="G17" s="23">
        <f>D17+G16</f>
        <v>901.8</v>
      </c>
      <c r="H17" s="29"/>
      <c r="I17" s="29"/>
      <c r="J17" s="29"/>
    </row>
    <row r="18" ht="20.05" customHeight="1">
      <c r="A18" s="37">
        <f>1+$A17</f>
        <v>2015</v>
      </c>
      <c r="B18" s="22"/>
      <c r="C18" s="23">
        <v>-82</v>
      </c>
      <c r="D18" s="23">
        <f>B18+C18</f>
        <v>-82</v>
      </c>
      <c r="E18" s="23">
        <f>B18+E17</f>
        <v>-51.2</v>
      </c>
      <c r="F18" s="23">
        <f>C18+F17</f>
        <v>871</v>
      </c>
      <c r="G18" s="23">
        <f>D18+G17</f>
        <v>819.8</v>
      </c>
      <c r="H18" s="29"/>
      <c r="I18" s="29"/>
      <c r="J18" s="29"/>
    </row>
    <row r="19" ht="20.05" customHeight="1">
      <c r="A19" s="37">
        <f>1+$A18</f>
        <v>2016</v>
      </c>
      <c r="B19" s="22">
        <f>16+626</f>
        <v>642</v>
      </c>
      <c r="C19" s="23">
        <v>-89</v>
      </c>
      <c r="D19" s="23">
        <f>B19+C19</f>
        <v>553</v>
      </c>
      <c r="E19" s="23">
        <f>B19+E18</f>
        <v>590.8</v>
      </c>
      <c r="F19" s="23">
        <f>C19+F18</f>
        <v>782</v>
      </c>
      <c r="G19" s="23">
        <f>D19+G18</f>
        <v>1372.8</v>
      </c>
      <c r="H19" s="29"/>
      <c r="I19" s="29"/>
      <c r="J19" s="29"/>
    </row>
    <row r="20" ht="20.05" customHeight="1">
      <c r="A20" s="37">
        <f>1+$A19</f>
        <v>2017</v>
      </c>
      <c r="B20" s="22">
        <f>300-74</f>
        <v>226</v>
      </c>
      <c r="C20" s="23">
        <f>222-65</f>
        <v>157</v>
      </c>
      <c r="D20" s="23">
        <f>B20+C20</f>
        <v>383</v>
      </c>
      <c r="E20" s="23">
        <f>B20+E19</f>
        <v>816.8</v>
      </c>
      <c r="F20" s="23">
        <f>C20+F19</f>
        <v>939</v>
      </c>
      <c r="G20" s="23">
        <f>D20+G19</f>
        <v>1755.8</v>
      </c>
      <c r="H20" s="29"/>
      <c r="I20" s="29"/>
      <c r="J20" s="29"/>
    </row>
    <row r="21" ht="20.05" customHeight="1">
      <c r="A21" s="37">
        <f>1+$A20</f>
        <v>2018</v>
      </c>
      <c r="B21" s="22">
        <f>400-27</f>
        <v>373</v>
      </c>
      <c r="C21" s="23">
        <f>24-37</f>
        <v>-13</v>
      </c>
      <c r="D21" s="23">
        <f>B21+C21</f>
        <v>360</v>
      </c>
      <c r="E21" s="23">
        <f>B21+E20</f>
        <v>1189.8</v>
      </c>
      <c r="F21" s="23">
        <f>C21+F20</f>
        <v>926</v>
      </c>
      <c r="G21" s="23">
        <f>D21+G20</f>
        <v>2115.8</v>
      </c>
      <c r="H21" s="29"/>
      <c r="I21" s="29"/>
      <c r="J21" s="29"/>
    </row>
    <row r="22" ht="20.05" customHeight="1">
      <c r="A22" s="37">
        <f>1+$A21</f>
        <v>2019</v>
      </c>
      <c r="B22" s="22">
        <f>200-36-36</f>
        <v>128</v>
      </c>
      <c r="C22" s="23">
        <v>-19</v>
      </c>
      <c r="D22" s="23">
        <f>B22+C22</f>
        <v>109</v>
      </c>
      <c r="E22" s="23">
        <f>B22+E21</f>
        <v>1317.8</v>
      </c>
      <c r="F22" s="23">
        <f>C22+F21</f>
        <v>907</v>
      </c>
      <c r="G22" s="23">
        <f>D22+G21</f>
        <v>2224.8</v>
      </c>
      <c r="H22" s="29"/>
      <c r="I22" s="29"/>
      <c r="J22" s="29"/>
    </row>
    <row r="23" ht="20.05" customHeight="1">
      <c r="A23" s="37">
        <f>1+$A22</f>
        <v>2020</v>
      </c>
      <c r="B23" s="22">
        <f>SUM('Cashflow '!H20:H23)</f>
        <v>536</v>
      </c>
      <c r="C23" s="23">
        <f>SUM('Cashflow '!I20:I23)</f>
        <v>-6</v>
      </c>
      <c r="D23" s="23">
        <f>B23+C23</f>
        <v>530</v>
      </c>
      <c r="E23" s="23">
        <f>B23+E22</f>
        <v>1853.8</v>
      </c>
      <c r="F23" s="23">
        <f>C23+F22</f>
        <v>901</v>
      </c>
      <c r="G23" s="23">
        <f>D23+G22</f>
        <v>2754.8</v>
      </c>
      <c r="H23" s="29"/>
      <c r="I23" s="29"/>
      <c r="J23" s="29"/>
    </row>
    <row r="24" ht="20.05" customHeight="1">
      <c r="A24" s="37">
        <f>1+$A23</f>
        <v>2021</v>
      </c>
      <c r="B24" s="22">
        <f>SUM('Cashflow '!H24:H27)</f>
        <v>44</v>
      </c>
      <c r="C24" s="23">
        <f>SUM('Cashflow '!I24:I27)</f>
        <v>0</v>
      </c>
      <c r="D24" s="23">
        <f>B24+C24</f>
        <v>44</v>
      </c>
      <c r="E24" s="23">
        <f>B24+E23</f>
        <v>1897.8</v>
      </c>
      <c r="F24" s="23">
        <f>C24+F23</f>
        <v>901</v>
      </c>
      <c r="G24" s="23">
        <f>D24+G23</f>
        <v>2798.8</v>
      </c>
      <c r="H24" s="23">
        <f>AVERAGE(D13:D24)</f>
        <v>233.233333333333</v>
      </c>
      <c r="I24" s="23">
        <f>AVERAGE(D20:D24)</f>
        <v>285.2</v>
      </c>
      <c r="J24" s="28">
        <f>D24</f>
        <v>44</v>
      </c>
    </row>
    <row r="26" ht="27.65" customHeight="1">
      <c r="K26" t="s" s="2">
        <v>64</v>
      </c>
      <c r="L26" s="2"/>
      <c r="M26" s="2"/>
      <c r="N26" s="2"/>
      <c r="O26" s="2"/>
      <c r="P26" s="2"/>
      <c r="Q26" s="2"/>
      <c r="R26" s="2"/>
      <c r="S26" s="2"/>
    </row>
    <row r="27" ht="20.25" customHeight="1">
      <c r="K27" s="4"/>
      <c r="L27" s="4"/>
      <c r="M27" s="4"/>
      <c r="N27" s="4"/>
      <c r="O27" s="4"/>
      <c r="P27" s="4"/>
      <c r="Q27" s="4"/>
      <c r="R27" s="4"/>
      <c r="S27" s="4"/>
    </row>
    <row r="28" ht="32.25" customHeight="1">
      <c r="K28" s="44"/>
      <c r="L28" t="s" s="45">
        <v>61</v>
      </c>
      <c r="M28" t="s" s="46">
        <v>65</v>
      </c>
      <c r="N28" s="10"/>
      <c r="O28" s="10"/>
      <c r="P28" s="10"/>
      <c r="Q28" s="10"/>
      <c r="R28" s="10"/>
      <c r="S28" s="10"/>
    </row>
    <row r="29" ht="20.05" customHeight="1">
      <c r="K29" s="36"/>
      <c r="L29" s="47">
        <v>44593</v>
      </c>
      <c r="M29" s="28">
        <v>27</v>
      </c>
      <c r="N29" s="28">
        <v>2022</v>
      </c>
      <c r="O29" s="29"/>
      <c r="P29" s="29"/>
      <c r="Q29" s="29"/>
      <c r="R29" s="29"/>
      <c r="S29" s="29"/>
    </row>
    <row r="30" ht="20.05" customHeight="1">
      <c r="K30" s="36"/>
      <c r="L30" t="s" s="48">
        <v>66</v>
      </c>
      <c r="M30" s="28">
        <f>$A13</f>
        <v>2010</v>
      </c>
      <c r="N30" s="29"/>
      <c r="O30" s="29"/>
      <c r="P30" s="29"/>
      <c r="Q30" s="29"/>
      <c r="R30" s="29"/>
      <c r="S30" s="29"/>
    </row>
    <row r="31" ht="32.05" customHeight="1">
      <c r="K31" s="36"/>
      <c r="L31" t="s" s="48">
        <v>67</v>
      </c>
      <c r="M31" s="28">
        <f>(2022-M30)*4</f>
        <v>48</v>
      </c>
      <c r="N31" s="29"/>
      <c r="O31" s="29"/>
      <c r="P31" s="29"/>
      <c r="Q31" s="29"/>
      <c r="R31" s="29"/>
      <c r="S31" s="29"/>
    </row>
    <row r="32" ht="20.05" customHeight="1">
      <c r="K32" s="36"/>
      <c r="L32" t="s" s="48">
        <v>12</v>
      </c>
      <c r="M32" s="23">
        <f>R36</f>
        <v>1897.8</v>
      </c>
      <c r="N32" t="s" s="49">
        <f>R33</f>
        <v>68</v>
      </c>
      <c r="O32" t="s" s="49">
        <f>IF(M32&gt;0,"raised","paid")</f>
        <v>69</v>
      </c>
      <c r="P32" s="29"/>
      <c r="Q32" s="29"/>
      <c r="R32" s="29"/>
      <c r="S32" s="29"/>
    </row>
    <row r="33" ht="32.05" customHeight="1">
      <c r="K33" s="36"/>
      <c r="L33" t="s" s="48">
        <f>L28</f>
        <v>61</v>
      </c>
      <c r="M33" t="s" s="49">
        <v>70</v>
      </c>
      <c r="N33" t="s" s="49">
        <f>IF(Q33&gt;0,"raised","paid")</f>
        <v>69</v>
      </c>
      <c r="O33" t="s" s="49">
        <v>71</v>
      </c>
      <c r="P33" t="s" s="49">
        <v>72</v>
      </c>
      <c r="Q33" s="23">
        <f>SUM(B13:B24)/12</f>
        <v>158.15</v>
      </c>
      <c r="R33" t="s" s="49">
        <v>68</v>
      </c>
      <c r="S33" t="s" s="49">
        <v>73</v>
      </c>
    </row>
    <row r="34" ht="32.05" customHeight="1">
      <c r="K34" s="36"/>
      <c r="L34" t="s" s="48">
        <v>74</v>
      </c>
      <c r="M34" t="s" s="49">
        <f>O33</f>
        <v>71</v>
      </c>
      <c r="N34" t="s" s="49">
        <v>75</v>
      </c>
      <c r="O34" t="s" s="49">
        <f>IF(Q34&gt;0,"raised","paid")</f>
        <v>69</v>
      </c>
      <c r="P34" t="s" s="49">
        <v>72</v>
      </c>
      <c r="Q34" s="23">
        <f>SUM(B20:B24)/5</f>
        <v>261.4</v>
      </c>
      <c r="R34" t="s" s="49">
        <f>R33</f>
        <v>68</v>
      </c>
      <c r="S34" t="s" s="49">
        <v>73</v>
      </c>
    </row>
    <row r="35" ht="44.05" customHeight="1">
      <c r="K35" s="36"/>
      <c r="L35" t="s" s="48">
        <v>76</v>
      </c>
      <c r="M35" t="s" s="49">
        <v>77</v>
      </c>
      <c r="N35" s="23">
        <f>MAX(E13:E24)</f>
        <v>1897.8</v>
      </c>
      <c r="O35" t="s" s="49">
        <f>R34</f>
        <v>68</v>
      </c>
      <c r="P35" t="s" s="49">
        <v>78</v>
      </c>
      <c r="Q35" s="28">
        <f>$A24</f>
        <v>2021</v>
      </c>
      <c r="R35" s="29"/>
      <c r="S35" s="29"/>
    </row>
    <row r="36" ht="32.05" customHeight="1">
      <c r="K36" s="36"/>
      <c r="L36" t="s" s="48">
        <v>79</v>
      </c>
      <c r="M36" t="s" s="49">
        <f>M34</f>
        <v>71</v>
      </c>
      <c r="N36" t="s" s="49">
        <v>80</v>
      </c>
      <c r="O36" t="s" s="49">
        <v>81</v>
      </c>
      <c r="P36" t="s" s="49">
        <f>IF(R36&lt;N35,"down","up")</f>
        <v>82</v>
      </c>
      <c r="Q36" t="s" s="49">
        <v>83</v>
      </c>
      <c r="R36" s="23">
        <f>E24</f>
        <v>1897.8</v>
      </c>
      <c r="S36" t="s" s="49">
        <f>R34</f>
        <v>68</v>
      </c>
    </row>
    <row r="37" ht="20.05" customHeight="1">
      <c r="K37" s="36"/>
      <c r="L37" t="s" s="48">
        <v>51</v>
      </c>
      <c r="M37" s="23">
        <f>R41</f>
        <v>901</v>
      </c>
      <c r="N37" t="s" s="49">
        <f>S36</f>
        <v>68</v>
      </c>
      <c r="O37" t="s" s="49">
        <f>IF(M37&gt;0,"raised","paid")</f>
        <v>69</v>
      </c>
      <c r="P37" s="29"/>
      <c r="Q37" s="29"/>
      <c r="R37" s="29"/>
      <c r="S37" s="29"/>
    </row>
    <row r="38" ht="32.05" customHeight="1">
      <c r="K38" s="36"/>
      <c r="L38" t="s" s="48">
        <f>L33</f>
        <v>61</v>
      </c>
      <c r="M38" t="s" s="49">
        <v>70</v>
      </c>
      <c r="N38" t="s" s="49">
        <f>IF(Q38&gt;0,"raised","paid")</f>
        <v>69</v>
      </c>
      <c r="O38" t="s" s="49">
        <v>84</v>
      </c>
      <c r="P38" t="s" s="49">
        <f>P33</f>
        <v>72</v>
      </c>
      <c r="Q38" s="23">
        <f>AVERAGE(C13:C24)</f>
        <v>75.0833333333333</v>
      </c>
      <c r="R38" t="s" s="49">
        <f>R33</f>
        <v>68</v>
      </c>
      <c r="S38" t="s" s="49">
        <f>S33</f>
        <v>73</v>
      </c>
    </row>
    <row r="39" ht="32.05" customHeight="1">
      <c r="K39" s="36"/>
      <c r="L39" t="s" s="48">
        <v>74</v>
      </c>
      <c r="M39" t="s" s="49">
        <f>O38</f>
        <v>84</v>
      </c>
      <c r="N39" t="s" s="49">
        <v>85</v>
      </c>
      <c r="O39" t="s" s="49">
        <f>IF(Q39&gt;0,"raised","paid")</f>
        <v>69</v>
      </c>
      <c r="P39" t="s" s="49">
        <v>72</v>
      </c>
      <c r="Q39" s="23">
        <f>AVERAGE(C20:C24)</f>
        <v>23.8</v>
      </c>
      <c r="R39" t="s" s="49">
        <f>R38</f>
        <v>68</v>
      </c>
      <c r="S39" t="s" s="49">
        <v>73</v>
      </c>
    </row>
    <row r="40" ht="44.05" customHeight="1">
      <c r="K40" s="36"/>
      <c r="L40" t="s" s="48">
        <v>86</v>
      </c>
      <c r="M40" t="s" s="49">
        <v>77</v>
      </c>
      <c r="N40" s="23">
        <f>MAX(F13:F24)</f>
        <v>1031</v>
      </c>
      <c r="O40" t="s" s="49">
        <f>R39</f>
        <v>68</v>
      </c>
      <c r="P40" t="s" s="49">
        <v>78</v>
      </c>
      <c r="Q40" s="28">
        <f>$A16</f>
        <v>2013</v>
      </c>
      <c r="R40" s="29"/>
      <c r="S40" s="29"/>
    </row>
    <row r="41" ht="32.05" customHeight="1">
      <c r="K41" s="36"/>
      <c r="L41" t="s" s="48">
        <v>79</v>
      </c>
      <c r="M41" t="s" s="49">
        <f>M39</f>
        <v>84</v>
      </c>
      <c r="N41" t="s" s="49">
        <v>80</v>
      </c>
      <c r="O41" t="s" s="49">
        <v>87</v>
      </c>
      <c r="P41" t="s" s="49">
        <f>IF(R41&lt;N40,"down","up")</f>
        <v>88</v>
      </c>
      <c r="Q41" t="s" s="49">
        <v>83</v>
      </c>
      <c r="R41" s="23">
        <f>F24</f>
        <v>901</v>
      </c>
      <c r="S41" t="s" s="49">
        <f>R39</f>
        <v>68</v>
      </c>
    </row>
    <row r="42" ht="20.05" customHeight="1">
      <c r="K42" s="36"/>
      <c r="L42" t="s" s="48">
        <v>89</v>
      </c>
      <c r="M42" s="23">
        <f>R46</f>
        <v>2798.8</v>
      </c>
      <c r="N42" t="s" s="49">
        <f>S41</f>
        <v>68</v>
      </c>
      <c r="O42" t="s" s="49">
        <f>IF(M42&gt;0,"raised","paid")</f>
        <v>69</v>
      </c>
      <c r="P42" s="29"/>
      <c r="Q42" s="29"/>
      <c r="R42" s="29"/>
      <c r="S42" s="29"/>
    </row>
    <row r="43" ht="32.05" customHeight="1">
      <c r="K43" s="36"/>
      <c r="L43" t="s" s="48">
        <f>L38</f>
        <v>61</v>
      </c>
      <c r="M43" t="s" s="49">
        <v>70</v>
      </c>
      <c r="N43" t="s" s="49">
        <f>IF(Q43&gt;0,"raised","paid")</f>
        <v>69</v>
      </c>
      <c r="O43" t="s" s="49">
        <v>90</v>
      </c>
      <c r="P43" t="s" s="49">
        <f>P38</f>
        <v>72</v>
      </c>
      <c r="Q43" s="23">
        <f>AVERAGE(D13:D24)</f>
        <v>233.233333333333</v>
      </c>
      <c r="R43" t="s" s="49">
        <f>R38</f>
        <v>68</v>
      </c>
      <c r="S43" t="s" s="49">
        <f>S38</f>
        <v>73</v>
      </c>
    </row>
    <row r="44" ht="32.05" customHeight="1">
      <c r="K44" s="36"/>
      <c r="L44" t="s" s="48">
        <v>74</v>
      </c>
      <c r="M44" t="s" s="49">
        <f>O43</f>
        <v>90</v>
      </c>
      <c r="N44" t="s" s="49">
        <v>85</v>
      </c>
      <c r="O44" t="s" s="49">
        <f>IF(Q44&gt;0,"raised","paid")</f>
        <v>69</v>
      </c>
      <c r="P44" t="s" s="49">
        <v>72</v>
      </c>
      <c r="Q44" s="23">
        <f>AVERAGE(D20:D24)</f>
        <v>285.2</v>
      </c>
      <c r="R44" t="s" s="49">
        <f>R43</f>
        <v>68</v>
      </c>
      <c r="S44" t="s" s="49">
        <v>73</v>
      </c>
    </row>
    <row r="45" ht="44.05" customHeight="1">
      <c r="K45" s="36"/>
      <c r="L45" t="s" s="48">
        <v>91</v>
      </c>
      <c r="M45" t="s" s="49">
        <v>77</v>
      </c>
      <c r="N45" s="23">
        <f>MAX(G13:G24)</f>
        <v>2798.8</v>
      </c>
      <c r="O45" t="s" s="49">
        <f>R44</f>
        <v>68</v>
      </c>
      <c r="P45" t="s" s="49">
        <v>78</v>
      </c>
      <c r="Q45" s="28">
        <f>$A24</f>
        <v>2021</v>
      </c>
      <c r="R45" s="29"/>
      <c r="S45" s="29"/>
    </row>
    <row r="46" ht="32.05" customHeight="1">
      <c r="K46" s="36"/>
      <c r="L46" t="s" s="48">
        <v>79</v>
      </c>
      <c r="M46" t="s" s="49">
        <f>M44</f>
        <v>90</v>
      </c>
      <c r="N46" t="s" s="49">
        <v>80</v>
      </c>
      <c r="O46" t="s" s="49">
        <v>87</v>
      </c>
      <c r="P46" t="s" s="49">
        <f>IF(R46&lt;N45,"down","up")</f>
        <v>82</v>
      </c>
      <c r="Q46" t="s" s="49">
        <v>83</v>
      </c>
      <c r="R46" s="23">
        <f>G24</f>
        <v>2798.8</v>
      </c>
      <c r="S46" t="s" s="49">
        <f>R44</f>
        <v>68</v>
      </c>
    </row>
  </sheetData>
  <mergeCells count="2">
    <mergeCell ref="A1:J1"/>
    <mergeCell ref="K26:S26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