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 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<sst xmlns="http://schemas.openxmlformats.org/spreadsheetml/2006/main" uniqueCount="58">
  <si>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</si>
  <si>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</si>
  <si>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2021</t>
  </si>
  <si>
    <t>Cash flow</t>
  </si>
  <si>
    <t>Growth</t>
  </si>
  <si>
    <t>Sales</t>
  </si>
  <si>
    <t>Cost ratio</t>
  </si>
  <si>
    <t>Cash costs</t>
  </si>
  <si>
    <t xml:space="preserve">Operating 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</si>
  <si>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</si>
  <si>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</si>
  <si>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</si>
  <si>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</si>
  <si>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</si>
  <si>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</si>
  <si>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</si>
  <si>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</si>
  <si>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</si>
  <si>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</si>
  <si>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>Non cash costs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</si>
  <si>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</si>
  <si>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</si>
  <si>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</si>
  <si>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</si>
  <si>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</si>
  <si>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</si>
  <si>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</si>
  <si>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</si>
  <si>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</si>
  <si>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</si>
  <si>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</si>
  <si>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</si>
  <si>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</si>
  <si>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</si>
  <si>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</si>
  <si>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</si>
  <si>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</si>
  <si>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</si>
  <si>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</si>
  <si>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</si>
  <si>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</si>
  <si>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</si>
  <si>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 </t>
  </si>
  <si>
    <t xml:space="preserve">Biological </t>
  </si>
  <si>
    <t xml:space="preserve">Profit </t>
  </si>
  <si>
    <t xml:space="preserve">Sales growth </t>
  </si>
  <si>
    <t xml:space="preserve">Cost ratio </t>
  </si>
  <si>
    <t>Cashflow costs</t>
  </si>
  <si>
    <t xml:space="preserve">Receipts </t>
  </si>
  <si>
    <t xml:space="preserve">Investment </t>
  </si>
  <si>
    <t xml:space="preserve">Free cashflow </t>
  </si>
  <si>
    <t>Assets</t>
  </si>
  <si>
    <t>Cash</t>
  </si>
  <si>
    <t>Other  Assets</t>
  </si>
  <si>
    <t>Check</t>
  </si>
  <si>
    <t xml:space="preserve">Net cash </t>
  </si>
  <si>
    <t>Share price</t>
  </si>
  <si>
    <t>SIMP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</si>
</sst>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%"/>
    <numFmt numFmtId="61" formatCode="#,##0%_);[Red]\(#,##0%\)"/>
    <numFmt numFmtId="62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0952289"/>
          <c:y val="0.0426778"/>
          <c:w val="0.873084"/>
          <c:h val="0.886395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chemeClr val="accent1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6"/>
            <c:forward val="0"/>
            <c:backward val="0"/>
            <c:dispRSqr val="0"/>
            <c:dispEq val="0"/>
          </c:trendline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in val="2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0"/>
        <c:minorUnit val="1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426773"/>
          <c:y val="0.125064"/>
          <c:w val="0.521288"/>
          <c:h val="0.067677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587882</xdr:colOff>
      <xdr:row>1</xdr:row>
      <xdr:rowOff>257046</xdr:rowOff>
    </xdr:from>
    <xdr:to>
      <xdr:col>12</xdr:col>
      <xdr:colOff>1239007</xdr:colOff>
      <xdr:row>46</xdr:row>
      <xdr:rowOff>13865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3782" y="528826"/>
          <a:ext cx="8118726" cy="113373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12</xdr:col>
      <xdr:colOff>998922</xdr:colOff>
      <xdr:row>14</xdr:row>
      <xdr:rowOff>190950</xdr:rowOff>
    </xdr:from>
    <xdr:to>
      <xdr:col>15</xdr:col>
      <xdr:colOff>1066632</xdr:colOff>
      <xdr:row>28</xdr:row>
      <xdr:rowOff>128923</xdr:rowOff>
    </xdr:to>
    <xdr:graphicFrame>
      <xdr:nvGraphicFramePr>
        <xdr:cNvPr id="4" name="2D Line Chart"/>
        <xdr:cNvGraphicFramePr/>
      </xdr:nvGraphicFramePr>
      <xdr:xfrm>
        <a:off x="14638722" y="4110805"/>
        <a:ext cx="3801511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3125" style="1" customWidth="1"/>
    <col min="2" max="2" width="16.2422" style="1" customWidth="1"/>
    <col min="3" max="6" width="8.28906" style="1" customWidth="1"/>
    <col min="7" max="16384" width="16.3516" style="1" customWidth="1"/>
  </cols>
  <sheetData>
    <row r="1" ht="21.4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t="s" s="3">
        <v>2</v>
      </c>
      <c r="D3" s="4"/>
      <c r="E3" s="4"/>
      <c r="F3" s="4"/>
    </row>
    <row r="4" ht="20.3" customHeight="1">
      <c r="B4" t="s" s="5">
        <v>3</v>
      </c>
      <c r="C4" s="6">
        <f>AVERAGE('Sales'!I26:I29)</f>
        <v>0.114675412304354</v>
      </c>
      <c r="D4" s="7"/>
      <c r="E4" s="7"/>
      <c r="F4" s="8">
        <f>AVERAGE(C5:F5)</f>
        <v>0.045</v>
      </c>
    </row>
    <row r="5" ht="20.05" customHeight="1">
      <c r="B5" t="s" s="9">
        <v>4</v>
      </c>
      <c r="C5" s="10">
        <v>0.11</v>
      </c>
      <c r="D5" s="11">
        <v>-0.03</v>
      </c>
      <c r="E5" s="11">
        <v>0.05</v>
      </c>
      <c r="F5" s="11">
        <v>0.05</v>
      </c>
    </row>
    <row r="6" ht="20.05" customHeight="1">
      <c r="B6" t="s" s="9">
        <v>5</v>
      </c>
      <c r="C6" s="12">
        <f>'Sales'!C29*(1+C5)</f>
        <v>5736.258</v>
      </c>
      <c r="D6" s="13">
        <f>C6*(1+D5)</f>
        <v>5564.17026</v>
      </c>
      <c r="E6" s="13">
        <f>D6*(1+E5)</f>
        <v>5842.378773</v>
      </c>
      <c r="F6" s="13">
        <f>E6*(1+F5)</f>
        <v>6134.49771165</v>
      </c>
    </row>
    <row r="7" ht="20.05" customHeight="1">
      <c r="B7" t="s" s="9">
        <v>6</v>
      </c>
      <c r="C7" s="14">
        <f>AVERAGE('Sales'!K29)</f>
        <v>-0.835737626177428</v>
      </c>
      <c r="D7" s="15">
        <f>C7</f>
        <v>-0.835737626177428</v>
      </c>
      <c r="E7" s="15">
        <f>D7</f>
        <v>-0.835737626177428</v>
      </c>
      <c r="F7" s="15">
        <f>E7</f>
        <v>-0.835737626177428</v>
      </c>
    </row>
    <row r="8" ht="20.05" customHeight="1">
      <c r="B8" t="s" s="9">
        <v>7</v>
      </c>
      <c r="C8" s="16">
        <f>C6*C7</f>
        <v>-4794.006644061280</v>
      </c>
      <c r="D8" s="17">
        <f>D6*D7</f>
        <v>-4650.186444739440</v>
      </c>
      <c r="E8" s="17">
        <f>E6*E7</f>
        <v>-4882.695766976410</v>
      </c>
      <c r="F8" s="17">
        <f>F6*F7</f>
        <v>-5126.830555325240</v>
      </c>
    </row>
    <row r="9" ht="20.1" customHeight="1">
      <c r="B9" t="s" s="9">
        <v>8</v>
      </c>
      <c r="C9" s="16">
        <f>C6+C8</f>
        <v>942.2513559387201</v>
      </c>
      <c r="D9" s="17">
        <f>D6+D8</f>
        <v>913.983815260560</v>
      </c>
      <c r="E9" s="17">
        <f>E6+E8</f>
        <v>959.683006023590</v>
      </c>
      <c r="F9" s="17">
        <f>F6+F8</f>
        <v>1007.667156324760</v>
      </c>
    </row>
    <row r="10" ht="20.05" customHeight="1">
      <c r="B10" t="s" s="9">
        <v>9</v>
      </c>
      <c r="C10" s="16">
        <f>AVERAGE('Cashflow'!E30)</f>
        <v>-293.6</v>
      </c>
      <c r="D10" s="17">
        <f>C10</f>
        <v>-293.6</v>
      </c>
      <c r="E10" s="17">
        <f>D10</f>
        <v>-293.6</v>
      </c>
      <c r="F10" s="17">
        <f>E10</f>
        <v>-293.6</v>
      </c>
    </row>
    <row r="11" ht="20.1" customHeight="1">
      <c r="B11" t="s" s="9">
        <v>10</v>
      </c>
      <c r="C11" s="16">
        <f>C12+C13+C15</f>
        <v>-648.651355938720</v>
      </c>
      <c r="D11" s="17">
        <f>D12+D13+D15</f>
        <v>-620.383815260560</v>
      </c>
      <c r="E11" s="17">
        <f>E12+E13+E15</f>
        <v>-666.083006023590</v>
      </c>
      <c r="F11" s="17">
        <f>F12+F13+F15</f>
        <v>-714.067156324760</v>
      </c>
    </row>
    <row r="12" ht="20.1" customHeight="1">
      <c r="B12" t="s" s="9">
        <v>11</v>
      </c>
      <c r="C12" s="16">
        <f>-('Balance sheet'!G30)/20</f>
        <v>-869.05</v>
      </c>
      <c r="D12" s="17">
        <f>-C26/20</f>
        <v>-825.5975</v>
      </c>
      <c r="E12" s="17">
        <f>-D26/20</f>
        <v>-784.317625</v>
      </c>
      <c r="F12" s="17">
        <f>-E26/20</f>
        <v>-745.10174375</v>
      </c>
    </row>
    <row r="13" ht="20.1" customHeight="1">
      <c r="B13" t="s" s="9">
        <v>12</v>
      </c>
      <c r="C13" s="16">
        <f>IF(C21&gt;0,-C21*0.3,0)</f>
        <v>-166.965406781616</v>
      </c>
      <c r="D13" s="17">
        <f>IF(D21&gt;0,-D21*0.3,0)</f>
        <v>-158.485144578168</v>
      </c>
      <c r="E13" s="17">
        <f>IF(E21&gt;0,-E21*0.3,0)</f>
        <v>-172.194901807077</v>
      </c>
      <c r="F13" s="17">
        <f>IF(F21&gt;0,-F21*0.3,0)</f>
        <v>-186.590146897428</v>
      </c>
    </row>
    <row r="14" ht="20.05" customHeight="1">
      <c r="B14" t="s" s="9">
        <v>13</v>
      </c>
      <c r="C14" s="16">
        <f>C9+C10+C12+C13</f>
        <v>-387.364050842896</v>
      </c>
      <c r="D14" s="17">
        <f>D9+D10+D12+D13</f>
        <v>-363.698829317608</v>
      </c>
      <c r="E14" s="17">
        <f>E9+E10+E12+E13</f>
        <v>-290.429520783487</v>
      </c>
      <c r="F14" s="17">
        <f>F9+F10+F12+F13</f>
        <v>-217.624734322668</v>
      </c>
    </row>
    <row r="15" ht="20.1" customHeight="1">
      <c r="B15" t="s" s="9">
        <v>14</v>
      </c>
      <c r="C15" s="16">
        <f>-MIN(0,C14)</f>
        <v>387.364050842896</v>
      </c>
      <c r="D15" s="17">
        <f>-MIN(C27,D14)</f>
        <v>363.698829317608</v>
      </c>
      <c r="E15" s="17">
        <f>-MIN(D27,E14)</f>
        <v>290.429520783487</v>
      </c>
      <c r="F15" s="17">
        <f>-MIN(E27,F14)</f>
        <v>217.624734322668</v>
      </c>
    </row>
    <row r="16" ht="20.1" customHeight="1">
      <c r="B16" t="s" s="9">
        <v>15</v>
      </c>
      <c r="C16" s="16">
        <f>'Balance sheet'!C30</f>
        <v>3532</v>
      </c>
      <c r="D16" s="17">
        <f>C18</f>
        <v>3532</v>
      </c>
      <c r="E16" s="17">
        <f>D18</f>
        <v>3532</v>
      </c>
      <c r="F16" s="17">
        <f>E18</f>
        <v>3532</v>
      </c>
    </row>
    <row r="17" ht="20.1" customHeight="1">
      <c r="B17" t="s" s="9">
        <v>16</v>
      </c>
      <c r="C17" s="16">
        <f>C9+C10+C11</f>
        <v>0</v>
      </c>
      <c r="D17" s="17">
        <f>D9+D10+D11</f>
        <v>0</v>
      </c>
      <c r="E17" s="17">
        <f>E9+E10+E11</f>
        <v>0</v>
      </c>
      <c r="F17" s="17">
        <f>F9+F10+F11</f>
        <v>0</v>
      </c>
    </row>
    <row r="18" ht="20.1" customHeight="1">
      <c r="B18" t="s" s="9">
        <v>17</v>
      </c>
      <c r="C18" s="16">
        <f>C16+C17</f>
        <v>3532</v>
      </c>
      <c r="D18" s="17">
        <f>D16+D17</f>
        <v>3532</v>
      </c>
      <c r="E18" s="17">
        <f>E16+E17</f>
        <v>3532</v>
      </c>
      <c r="F18" s="17">
        <f>F16+F17</f>
        <v>3532</v>
      </c>
    </row>
    <row r="19" ht="20.1" customHeight="1">
      <c r="B19" t="s" s="18">
        <v>18</v>
      </c>
      <c r="C19" s="19"/>
      <c r="D19" s="20"/>
      <c r="E19" s="17"/>
      <c r="F19" s="21"/>
    </row>
    <row r="20" ht="20.1" customHeight="1">
      <c r="B20" t="s" s="9">
        <v>19</v>
      </c>
      <c r="C20" s="16">
        <f>-AVERAGE('Sales'!E29)</f>
        <v>-385.7</v>
      </c>
      <c r="D20" s="17">
        <f>C20</f>
        <v>-385.7</v>
      </c>
      <c r="E20" s="17">
        <f>D20</f>
        <v>-385.7</v>
      </c>
      <c r="F20" s="17">
        <f>E20</f>
        <v>-385.7</v>
      </c>
    </row>
    <row r="21" ht="20.1" customHeight="1">
      <c r="B21" t="s" s="9">
        <v>20</v>
      </c>
      <c r="C21" s="16">
        <f>C6+C8+C20</f>
        <v>556.551355938720</v>
      </c>
      <c r="D21" s="17">
        <f>D6+D8+D20</f>
        <v>528.283815260560</v>
      </c>
      <c r="E21" s="17">
        <f>E6+E8+E20</f>
        <v>573.983006023590</v>
      </c>
      <c r="F21" s="17">
        <f>F6+F8+F20</f>
        <v>621.967156324760</v>
      </c>
    </row>
    <row r="22" ht="20.1" customHeight="1">
      <c r="B22" t="s" s="18">
        <v>21</v>
      </c>
      <c r="C22" s="19"/>
      <c r="D22" s="20"/>
      <c r="E22" s="17"/>
      <c r="F22" s="17"/>
    </row>
    <row r="23" ht="20.1" customHeight="1">
      <c r="B23" t="s" s="9">
        <v>22</v>
      </c>
      <c r="C23" s="16">
        <f>'Balance sheet'!F30+'Balance sheet'!E30-C10</f>
        <v>48212.6</v>
      </c>
      <c r="D23" s="17">
        <f>C23-D10</f>
        <v>48506.2</v>
      </c>
      <c r="E23" s="17">
        <f>D23-E10</f>
        <v>48799.8</v>
      </c>
      <c r="F23" s="17">
        <f>E23-F10</f>
        <v>49093.4</v>
      </c>
    </row>
    <row r="24" ht="20.1" customHeight="1">
      <c r="B24" t="s" s="9">
        <v>23</v>
      </c>
      <c r="C24" s="16">
        <f>'Balance sheet'!F30-C20</f>
        <v>15254.7</v>
      </c>
      <c r="D24" s="17">
        <f>C24-D20</f>
        <v>15640.4</v>
      </c>
      <c r="E24" s="17">
        <f>D24-E20</f>
        <v>16026.1</v>
      </c>
      <c r="F24" s="17">
        <f>E24-F20</f>
        <v>16411.8</v>
      </c>
    </row>
    <row r="25" ht="20.1" customHeight="1">
      <c r="B25" t="s" s="9">
        <v>24</v>
      </c>
      <c r="C25" s="16">
        <f>C23-C24</f>
        <v>32957.9</v>
      </c>
      <c r="D25" s="17">
        <f>D23-D24</f>
        <v>32865.8</v>
      </c>
      <c r="E25" s="17">
        <f>E23-E24</f>
        <v>32773.7</v>
      </c>
      <c r="F25" s="17">
        <f>F23-F24</f>
        <v>32681.6</v>
      </c>
    </row>
    <row r="26" ht="20.1" customHeight="1">
      <c r="B26" t="s" s="9">
        <v>11</v>
      </c>
      <c r="C26" s="16">
        <f>'Balance sheet'!G30+C12</f>
        <v>16511.95</v>
      </c>
      <c r="D26" s="17">
        <f>C26+D12</f>
        <v>15686.3525</v>
      </c>
      <c r="E26" s="17">
        <f>D26+E12</f>
        <v>14902.034875</v>
      </c>
      <c r="F26" s="17">
        <f>E26+F12</f>
        <v>14156.93313125</v>
      </c>
    </row>
    <row r="27" ht="20.1" customHeight="1">
      <c r="B27" t="s" s="9">
        <v>14</v>
      </c>
      <c r="C27" s="16">
        <f>C15</f>
        <v>387.364050842896</v>
      </c>
      <c r="D27" s="17">
        <f>C27+D15</f>
        <v>751.0628801605041</v>
      </c>
      <c r="E27" s="17">
        <f>D27+E15</f>
        <v>1041.492400943990</v>
      </c>
      <c r="F27" s="17">
        <f>E27+F15</f>
        <v>1259.117135266660</v>
      </c>
    </row>
    <row r="28" ht="20.05" customHeight="1">
      <c r="B28" t="s" s="9">
        <v>25</v>
      </c>
      <c r="C28" s="16">
        <f>'Balance sheet'!H30+C21+C13</f>
        <v>19590.5859491571</v>
      </c>
      <c r="D28" s="17">
        <f>C28+D21+D13</f>
        <v>19960.3846198395</v>
      </c>
      <c r="E28" s="17">
        <f>D28+E21+E13</f>
        <v>20362.172724056</v>
      </c>
      <c r="F28" s="17">
        <f>E28+F21+F13</f>
        <v>20797.5497334833</v>
      </c>
    </row>
    <row r="29" ht="20.1" customHeight="1">
      <c r="B29" t="s" s="9">
        <v>26</v>
      </c>
      <c r="C29" s="16">
        <f>C26+C27+C28-C18-C25</f>
        <v>-4e-12</v>
      </c>
      <c r="D29" s="17">
        <f>D26+D27+D28-D18-D25</f>
        <v>4e-12</v>
      </c>
      <c r="E29" s="17">
        <f>E26+E27+E28-E18-E25</f>
        <v>-9.999999999999999e-12</v>
      </c>
      <c r="F29" s="17">
        <f>F26+F27+F28-F18-F25</f>
        <v>-4e-11</v>
      </c>
    </row>
    <row r="30" ht="20.1" customHeight="1">
      <c r="B30" t="s" s="9">
        <v>27</v>
      </c>
      <c r="C30" s="16">
        <f>C18-C26-C27</f>
        <v>-13367.3140508429</v>
      </c>
      <c r="D30" s="17">
        <f>D18-D26-D27</f>
        <v>-12905.4153801605</v>
      </c>
      <c r="E30" s="17">
        <f>E18-E26-E27</f>
        <v>-12411.527275944</v>
      </c>
      <c r="F30" s="17">
        <f>F18-F26-F27</f>
        <v>-11884.0502665167</v>
      </c>
    </row>
    <row r="31" ht="20.1" customHeight="1">
      <c r="B31" t="s" s="18">
        <v>28</v>
      </c>
      <c r="C31" s="16"/>
      <c r="D31" s="17"/>
      <c r="E31" s="17"/>
      <c r="F31" s="17"/>
    </row>
    <row r="32" ht="20.1" customHeight="1">
      <c r="B32" t="s" s="9">
        <v>29</v>
      </c>
      <c r="C32" s="16">
        <f>'Cashflow'!K30-C11</f>
        <v>-157.018644061280</v>
      </c>
      <c r="D32" s="17">
        <f>C32-D11</f>
        <v>463.365171199280</v>
      </c>
      <c r="E32" s="17">
        <f>D32-E11</f>
        <v>1129.448177222870</v>
      </c>
      <c r="F32" s="17">
        <f>E32-F11</f>
        <v>1843.515333547630</v>
      </c>
    </row>
    <row r="33" ht="20.1" customHeight="1">
      <c r="B33" t="s" s="9">
        <v>30</v>
      </c>
      <c r="C33" s="16"/>
      <c r="D33" s="17"/>
      <c r="E33" s="17"/>
      <c r="F33" s="17">
        <v>7224</v>
      </c>
    </row>
    <row r="34" ht="20.1" customHeight="1">
      <c r="B34" t="s" s="9">
        <v>31</v>
      </c>
      <c r="C34" s="16"/>
      <c r="D34" s="17"/>
      <c r="E34" s="17"/>
      <c r="F34" s="22">
        <f>F33/(F18+F25)</f>
        <v>0.199483067134999</v>
      </c>
    </row>
    <row r="35" ht="20.1" customHeight="1">
      <c r="B35" t="s" s="9">
        <v>32</v>
      </c>
      <c r="C35" s="16"/>
      <c r="D35" s="17"/>
      <c r="E35" s="17"/>
      <c r="F35" s="15">
        <f>-(C13+D13+E13+F13)/F33</f>
        <v>0.09471699890147969</v>
      </c>
    </row>
    <row r="36" ht="20.1" customHeight="1">
      <c r="B36" t="s" s="9">
        <v>33</v>
      </c>
      <c r="C36" s="16"/>
      <c r="D36" s="17"/>
      <c r="E36" s="17"/>
      <c r="F36" s="17">
        <f>SUM(C9:F10)</f>
        <v>2649.185333547630</v>
      </c>
    </row>
    <row r="37" ht="20.1" customHeight="1">
      <c r="B37" t="s" s="9">
        <v>34</v>
      </c>
      <c r="C37" s="16"/>
      <c r="D37" s="17"/>
      <c r="E37" s="17"/>
      <c r="F37" s="17">
        <f>'Balance sheet'!E30/F36</f>
        <v>12.4755333579253</v>
      </c>
    </row>
    <row r="38" ht="20.1" customHeight="1">
      <c r="B38" t="s" s="9">
        <v>28</v>
      </c>
      <c r="C38" s="16"/>
      <c r="D38" s="17"/>
      <c r="E38" s="17"/>
      <c r="F38" s="17">
        <f>F33/F36</f>
        <v>2.72687603563245</v>
      </c>
    </row>
    <row r="39" ht="20.1" customHeight="1">
      <c r="B39" t="s" s="9">
        <v>35</v>
      </c>
      <c r="C39" s="16"/>
      <c r="D39" s="17"/>
      <c r="E39" s="17"/>
      <c r="F39" s="17">
        <v>7</v>
      </c>
    </row>
    <row r="40" ht="20.1" customHeight="1">
      <c r="B40" t="s" s="9">
        <v>36</v>
      </c>
      <c r="C40" s="16"/>
      <c r="D40" s="17"/>
      <c r="E40" s="17"/>
      <c r="F40" s="17">
        <f>F36*F39</f>
        <v>18544.2973348334</v>
      </c>
    </row>
    <row r="41" ht="20.1" customHeight="1">
      <c r="B41" t="s" s="9">
        <v>37</v>
      </c>
      <c r="C41" s="16"/>
      <c r="D41" s="17"/>
      <c r="E41" s="17"/>
      <c r="F41" s="17">
        <f>F33/F43</f>
        <v>15.5021459227468</v>
      </c>
    </row>
    <row r="42" ht="20.1" customHeight="1">
      <c r="B42" t="s" s="9">
        <v>38</v>
      </c>
      <c r="C42" s="16"/>
      <c r="D42" s="17"/>
      <c r="E42" s="17"/>
      <c r="F42" s="17">
        <f>F40/F41</f>
        <v>1196.240664179450</v>
      </c>
    </row>
    <row r="43" ht="20.1" customHeight="1">
      <c r="B43" t="s" s="9">
        <v>39</v>
      </c>
      <c r="C43" s="16"/>
      <c r="D43" s="17"/>
      <c r="E43" s="17"/>
      <c r="F43" s="17">
        <f>'Share price'!C19</f>
        <v>466</v>
      </c>
    </row>
    <row r="44" ht="20.1" customHeight="1">
      <c r="B44" t="s" s="9">
        <v>40</v>
      </c>
      <c r="C44" s="16"/>
      <c r="D44" s="17"/>
      <c r="E44" s="17"/>
      <c r="F44" s="15">
        <f>F42/F43-1</f>
        <v>1.56704005188723</v>
      </c>
    </row>
    <row r="45" ht="20.1" customHeight="1">
      <c r="B45" t="s" s="9">
        <v>41</v>
      </c>
      <c r="C45" s="16"/>
      <c r="D45" s="17"/>
      <c r="E45" s="17"/>
      <c r="F45" s="15">
        <f>'Sales'!C29/'Sales'!C25-1</f>
        <v>0.502267441860465</v>
      </c>
    </row>
    <row r="46" ht="20.1" customHeight="1">
      <c r="B46" t="s" s="9">
        <v>42</v>
      </c>
      <c r="C46" s="16"/>
      <c r="D46" s="17"/>
      <c r="E46" s="17"/>
      <c r="F46" s="15">
        <f>('Sales'!D23+'Sales'!D29+'Sales'!D24+'Sales'!D25+'Sales'!D26+'Sales'!D27+'Sales'!D28)/('Sales'!C23+'Sales'!C24+'Sales'!C25+'Sales'!C26+'Sales'!C27+'Sales'!C29+'Sales'!C28)-1</f>
        <v>-0.0293821000625872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L33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3.00781" style="23" customWidth="1"/>
    <col min="2" max="2" width="10.3984" style="23" customWidth="1"/>
    <col min="3" max="12" width="9.75" style="23" customWidth="1"/>
    <col min="13" max="16384" width="16.3516" style="23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32.25" customHeight="1">
      <c r="B2" t="s" s="24">
        <v>1</v>
      </c>
      <c r="C2" t="s" s="24">
        <v>5</v>
      </c>
      <c r="D2" t="s" s="24">
        <v>35</v>
      </c>
      <c r="E2" t="s" s="24">
        <v>23</v>
      </c>
      <c r="F2" t="s" s="24">
        <v>43</v>
      </c>
      <c r="G2" t="s" s="24">
        <v>44</v>
      </c>
      <c r="H2" t="s" s="24">
        <v>44</v>
      </c>
      <c r="I2" t="s" s="24">
        <v>45</v>
      </c>
      <c r="J2" t="s" s="24">
        <v>46</v>
      </c>
      <c r="K2" t="s" s="24">
        <v>47</v>
      </c>
      <c r="L2" t="s" s="24">
        <v>47</v>
      </c>
    </row>
    <row r="3" ht="20.25" customHeight="1">
      <c r="B3" s="25">
        <v>2015</v>
      </c>
      <c r="C3" s="26">
        <v>2659</v>
      </c>
      <c r="D3" s="7"/>
      <c r="E3" s="27">
        <v>233</v>
      </c>
      <c r="F3" s="27">
        <v>0</v>
      </c>
      <c r="G3" s="27">
        <v>55</v>
      </c>
      <c r="H3" s="28"/>
      <c r="I3" s="8"/>
      <c r="J3" s="29">
        <f>(E3+G3-F3-C3)/C3</f>
        <v>-0.891688604738624</v>
      </c>
      <c r="K3" s="30"/>
      <c r="L3" s="29">
        <f>('Cashflow'!D4-'Cashflow'!C4)/'Cashflow'!C4</f>
        <v>-1.01637426900585</v>
      </c>
    </row>
    <row r="4" ht="20.05" customHeight="1">
      <c r="B4" s="31"/>
      <c r="C4" s="12">
        <v>4133</v>
      </c>
      <c r="D4" s="21"/>
      <c r="E4" s="17">
        <v>306</v>
      </c>
      <c r="F4" s="17">
        <v>0</v>
      </c>
      <c r="G4" s="17">
        <v>103</v>
      </c>
      <c r="H4" s="17"/>
      <c r="I4" s="15">
        <f>C4/C3-1</f>
        <v>0.554343738247461</v>
      </c>
      <c r="J4" s="15">
        <f>(E4+G4-F4-C4)/C4</f>
        <v>-0.901040406484394</v>
      </c>
      <c r="K4" s="32"/>
      <c r="L4" s="15">
        <f>('Cashflow'!D5-'Cashflow'!C5)/'Cashflow'!C5</f>
        <v>-0.902337662337662</v>
      </c>
    </row>
    <row r="5" ht="20.05" customHeight="1">
      <c r="B5" s="31"/>
      <c r="C5" s="12">
        <v>3268</v>
      </c>
      <c r="D5" s="21"/>
      <c r="E5" s="17">
        <v>338</v>
      </c>
      <c r="F5" s="17">
        <v>0</v>
      </c>
      <c r="G5" s="17">
        <v>-36</v>
      </c>
      <c r="H5" s="17"/>
      <c r="I5" s="15">
        <f>C5/C4-1</f>
        <v>-0.209291071860634</v>
      </c>
      <c r="J5" s="15">
        <f>(E5+G5-F5-C5)/C5</f>
        <v>-0.907588739290086</v>
      </c>
      <c r="K5" s="32"/>
      <c r="L5" s="15">
        <f>('Cashflow'!D6-'Cashflow'!C6)/'Cashflow'!C6</f>
        <v>-0.840766152086907</v>
      </c>
    </row>
    <row r="6" ht="20.05" customHeight="1">
      <c r="B6" s="31"/>
      <c r="C6" s="12">
        <v>3775</v>
      </c>
      <c r="D6" s="21"/>
      <c r="E6" s="17">
        <v>258</v>
      </c>
      <c r="F6" s="17">
        <v>0</v>
      </c>
      <c r="G6" s="17">
        <v>243</v>
      </c>
      <c r="H6" s="17"/>
      <c r="I6" s="15">
        <f>C6/C5-1</f>
        <v>0.155140758873929</v>
      </c>
      <c r="J6" s="15">
        <f>(E6+G6-F6-C6)/C6</f>
        <v>-0.867284768211921</v>
      </c>
      <c r="K6" s="32"/>
      <c r="L6" s="15">
        <f>('Cashflow'!D7-'Cashflow'!C7)/'Cashflow'!C7</f>
        <v>-0.799325900959295</v>
      </c>
    </row>
    <row r="7" ht="20.05" customHeight="1">
      <c r="B7" s="33">
        <v>2016</v>
      </c>
      <c r="C7" s="12">
        <v>3147</v>
      </c>
      <c r="D7" s="21"/>
      <c r="E7" s="17">
        <v>260</v>
      </c>
      <c r="F7" s="17">
        <v>0</v>
      </c>
      <c r="G7" s="17">
        <v>45</v>
      </c>
      <c r="H7" s="17"/>
      <c r="I7" s="15">
        <f>C7/C6-1</f>
        <v>-0.16635761589404</v>
      </c>
      <c r="J7" s="15">
        <f>(E7+G7-F7-C7)/C7</f>
        <v>-0.9030823006037501</v>
      </c>
      <c r="K7" s="15">
        <f>AVERAGE(L4:L7)</f>
        <v>-0.8635886262729821</v>
      </c>
      <c r="L7" s="15">
        <f>('Cashflow'!D8-'Cashflow'!C8)/'Cashflow'!C8</f>
        <v>-0.911924789708065</v>
      </c>
    </row>
    <row r="8" ht="20.05" customHeight="1">
      <c r="B8" s="31"/>
      <c r="C8" s="12">
        <v>3568</v>
      </c>
      <c r="D8" s="21"/>
      <c r="E8" s="17">
        <v>298</v>
      </c>
      <c r="F8" s="17">
        <v>0</v>
      </c>
      <c r="G8" s="17">
        <v>86</v>
      </c>
      <c r="H8" s="17"/>
      <c r="I8" s="15">
        <f>C8/C7-1</f>
        <v>0.13377820146171</v>
      </c>
      <c r="J8" s="15">
        <f>(E8+G8-F8-C8)/C8</f>
        <v>-0.89237668161435</v>
      </c>
      <c r="K8" s="15">
        <f>AVERAGE(L5:L8)</f>
        <v>-0.904895579044369</v>
      </c>
      <c r="L8" s="15">
        <f>('Cashflow'!D9-'Cashflow'!C9)/'Cashflow'!C9</f>
        <v>-1.06756547342321</v>
      </c>
    </row>
    <row r="9" ht="20.05" customHeight="1">
      <c r="B9" s="31"/>
      <c r="C9" s="12">
        <v>3553</v>
      </c>
      <c r="D9" s="21"/>
      <c r="E9" s="17">
        <v>374</v>
      </c>
      <c r="F9" s="17">
        <v>0</v>
      </c>
      <c r="G9" s="17">
        <v>128</v>
      </c>
      <c r="H9" s="17"/>
      <c r="I9" s="15">
        <f>C9/C8-1</f>
        <v>-0.00420403587443946</v>
      </c>
      <c r="J9" s="15">
        <f>(E9+G9-F9-C9)/C9</f>
        <v>-0.85871094849423</v>
      </c>
      <c r="K9" s="15">
        <f>AVERAGE(L6:L9)</f>
        <v>-0.88539237550852</v>
      </c>
      <c r="L9" s="15">
        <f>('Cashflow'!D10-'Cashflow'!C10)/'Cashflow'!C10</f>
        <v>-0.762753337943508</v>
      </c>
    </row>
    <row r="10" ht="20.05" customHeight="1">
      <c r="B10" s="31"/>
      <c r="C10" s="12">
        <v>4263</v>
      </c>
      <c r="D10" s="21"/>
      <c r="E10" s="17">
        <v>287</v>
      </c>
      <c r="F10" s="17">
        <v>0</v>
      </c>
      <c r="G10" s="17">
        <v>351</v>
      </c>
      <c r="H10" s="17"/>
      <c r="I10" s="15">
        <f>C10/C9-1</f>
        <v>0.199831128623698</v>
      </c>
      <c r="J10" s="15">
        <f>(E10+G10-F10-C10)/C10</f>
        <v>-0.850340136054422</v>
      </c>
      <c r="K10" s="15">
        <f>AVERAGE(L7:L10)</f>
        <v>-0.868515720273528</v>
      </c>
      <c r="L10" s="15">
        <f>('Cashflow'!D11-'Cashflow'!C11)/'Cashflow'!C11</f>
        <v>-0.7318192800193279</v>
      </c>
    </row>
    <row r="11" ht="20.05" customHeight="1">
      <c r="B11" s="33">
        <v>2017</v>
      </c>
      <c r="C11" s="12">
        <v>4401</v>
      </c>
      <c r="D11" s="21"/>
      <c r="E11" s="17">
        <v>274</v>
      </c>
      <c r="F11" s="17">
        <v>0</v>
      </c>
      <c r="G11" s="17">
        <v>470</v>
      </c>
      <c r="H11" s="17"/>
      <c r="I11" s="15">
        <f>C11/C10-1</f>
        <v>0.0323715693173821</v>
      </c>
      <c r="J11" s="15">
        <f>(E11+G11-F11-C11)/C11</f>
        <v>-0.830947511929107</v>
      </c>
      <c r="K11" s="15">
        <f>AVERAGE(L8:L11)</f>
        <v>-0.874604916535353</v>
      </c>
      <c r="L11" s="15">
        <f>('Cashflow'!D12-'Cashflow'!C12)/'Cashflow'!C12</f>
        <v>-0.936281574755367</v>
      </c>
    </row>
    <row r="12" ht="20.05" customHeight="1">
      <c r="B12" s="31"/>
      <c r="C12" s="12">
        <v>4117</v>
      </c>
      <c r="D12" s="21"/>
      <c r="E12" s="17">
        <v>319</v>
      </c>
      <c r="F12" s="17">
        <v>0</v>
      </c>
      <c r="G12" s="17">
        <v>27</v>
      </c>
      <c r="H12" s="17"/>
      <c r="I12" s="15">
        <f>C12/C11-1</f>
        <v>-0.06453078845716879</v>
      </c>
      <c r="J12" s="15">
        <f>(E12+G12-F12-C12)/C12</f>
        <v>-0.915958222006315</v>
      </c>
      <c r="K12" s="15">
        <f>AVERAGE(L9:L12)</f>
        <v>-0.838399116736407</v>
      </c>
      <c r="L12" s="15">
        <f>('Cashflow'!D13-'Cashflow'!C13)/'Cashflow'!C13</f>
        <v>-0.9227422742274231</v>
      </c>
    </row>
    <row r="13" ht="20.05" customHeight="1">
      <c r="B13" s="31"/>
      <c r="C13" s="12">
        <v>3715</v>
      </c>
      <c r="D13" s="21"/>
      <c r="E13" s="17">
        <v>348</v>
      </c>
      <c r="F13" s="17">
        <v>0</v>
      </c>
      <c r="G13" s="17">
        <v>71</v>
      </c>
      <c r="H13" s="17"/>
      <c r="I13" s="15">
        <f>C13/C12-1</f>
        <v>-0.0976439154724314</v>
      </c>
      <c r="J13" s="15">
        <f>(E13+G13-F13-C13)/C13</f>
        <v>-0.88721399730821</v>
      </c>
      <c r="K13" s="15">
        <f>AVERAGE(L10:L13)</f>
        <v>-0.820299427766687</v>
      </c>
      <c r="L13" s="15">
        <f>('Cashflow'!D14-'Cashflow'!C14)/'Cashflow'!C14</f>
        <v>-0.69035458206463</v>
      </c>
    </row>
    <row r="14" ht="20.05" customHeight="1">
      <c r="B14" s="31"/>
      <c r="C14" s="12">
        <v>3594</v>
      </c>
      <c r="D14" s="21"/>
      <c r="E14" s="17">
        <v>278</v>
      </c>
      <c r="F14" s="17">
        <v>0</v>
      </c>
      <c r="G14" s="17">
        <v>127</v>
      </c>
      <c r="H14" s="17"/>
      <c r="I14" s="15">
        <f>C14/C13-1</f>
        <v>-0.0325706594885599</v>
      </c>
      <c r="J14" s="15">
        <f>(E14+G14-F14-C14)/C14</f>
        <v>-0.8873121869782969</v>
      </c>
      <c r="K14" s="15">
        <f>AVERAGE(L11:L14)</f>
        <v>-0.875632481759498</v>
      </c>
      <c r="L14" s="15">
        <f>('Cashflow'!D15-'Cashflow'!C15)/'Cashflow'!C15</f>
        <v>-0.953151495990573</v>
      </c>
    </row>
    <row r="15" ht="20.05" customHeight="1">
      <c r="B15" s="33">
        <v>2018</v>
      </c>
      <c r="C15" s="12">
        <v>3190</v>
      </c>
      <c r="D15" s="21"/>
      <c r="E15" s="17">
        <v>339</v>
      </c>
      <c r="F15" s="17">
        <v>-12</v>
      </c>
      <c r="G15" s="17">
        <v>105</v>
      </c>
      <c r="H15" s="17">
        <f>AVERAGE(G12:G15)</f>
        <v>82.5</v>
      </c>
      <c r="I15" s="15">
        <f>C15/C14-1</f>
        <v>-0.112409571508069</v>
      </c>
      <c r="J15" s="15">
        <f>(E15+G15-F15-C15)/C15</f>
        <v>-0.85705329153605</v>
      </c>
      <c r="K15" s="15">
        <f>AVERAGE(L12:L15)</f>
        <v>-0.871894255902824</v>
      </c>
      <c r="L15" s="15">
        <f>('Cashflow'!D16-'Cashflow'!C16)/'Cashflow'!C16</f>
        <v>-0.921328671328671</v>
      </c>
    </row>
    <row r="16" ht="20.05" customHeight="1">
      <c r="B16" s="31"/>
      <c r="C16" s="12">
        <v>3366</v>
      </c>
      <c r="D16" s="21"/>
      <c r="E16" s="17">
        <v>339</v>
      </c>
      <c r="F16" s="17">
        <v>11</v>
      </c>
      <c r="G16" s="17">
        <v>-50</v>
      </c>
      <c r="H16" s="17">
        <f>AVERAGE(G13:G16)</f>
        <v>63.25</v>
      </c>
      <c r="I16" s="15">
        <f>C16/C15-1</f>
        <v>0.0551724137931034</v>
      </c>
      <c r="J16" s="15">
        <f>(E16+G16-F16-C16)/C16</f>
        <v>-0.9174093879976229</v>
      </c>
      <c r="K16" s="15">
        <f>AVERAGE(L13:L16)</f>
        <v>-0.899516799624171</v>
      </c>
      <c r="L16" s="15">
        <f>('Cashflow'!D17-'Cashflow'!C17)/'Cashflow'!C17</f>
        <v>-1.03323244911281</v>
      </c>
    </row>
    <row r="17" ht="20.05" customHeight="1">
      <c r="B17" s="31"/>
      <c r="C17" s="12">
        <v>3850</v>
      </c>
      <c r="D17" s="21"/>
      <c r="E17" s="17">
        <v>339</v>
      </c>
      <c r="F17" s="17">
        <v>6</v>
      </c>
      <c r="G17" s="17">
        <v>16</v>
      </c>
      <c r="H17" s="17">
        <f>AVERAGE(G14:G17)</f>
        <v>49.5</v>
      </c>
      <c r="I17" s="15">
        <f>C17/C16-1</f>
        <v>0.143790849673203</v>
      </c>
      <c r="J17" s="15">
        <f>(E17+G17-F17-C17)/C17</f>
        <v>-0.909350649350649</v>
      </c>
      <c r="K17" s="15">
        <f>AVERAGE(L14:L17)</f>
        <v>-0.943608560813152</v>
      </c>
      <c r="L17" s="15">
        <f>('Cashflow'!D18-'Cashflow'!C18)/'Cashflow'!C18</f>
        <v>-0.866721626820555</v>
      </c>
    </row>
    <row r="18" ht="20.05" customHeight="1">
      <c r="B18" s="31"/>
      <c r="C18" s="12">
        <v>3653</v>
      </c>
      <c r="D18" s="21"/>
      <c r="E18" s="17">
        <v>339</v>
      </c>
      <c r="F18" s="17">
        <v>-36</v>
      </c>
      <c r="G18" s="17">
        <v>-249</v>
      </c>
      <c r="H18" s="17">
        <f>AVERAGE(G15:G18)</f>
        <v>-44.5</v>
      </c>
      <c r="I18" s="15">
        <f>C18/C17-1</f>
        <v>-0.0511688311688312</v>
      </c>
      <c r="J18" s="15">
        <f>(E18+G18-F18-C18)/C18</f>
        <v>-0.965507801806734</v>
      </c>
      <c r="K18" s="15">
        <f>AVERAGE(L15:L18)</f>
        <v>-0.91975721360358</v>
      </c>
      <c r="L18" s="15">
        <f>('Cashflow'!D19-'Cashflow'!C19)/'Cashflow'!C19</f>
        <v>-0.8577461071522831</v>
      </c>
    </row>
    <row r="19" ht="20.05" customHeight="1">
      <c r="B19" s="33">
        <v>2019</v>
      </c>
      <c r="C19" s="12">
        <v>3358</v>
      </c>
      <c r="D19" s="21"/>
      <c r="E19" s="17">
        <v>350.75</v>
      </c>
      <c r="F19" s="17">
        <v>22</v>
      </c>
      <c r="G19" s="17">
        <v>-75</v>
      </c>
      <c r="H19" s="17">
        <f>AVERAGE(G16:G19)</f>
        <v>-89.5</v>
      </c>
      <c r="I19" s="15">
        <f>C19/C18-1</f>
        <v>-0.08075554338899529</v>
      </c>
      <c r="J19" s="15">
        <f>(E19+G19-F19-C19)/C19</f>
        <v>-0.924434187016081</v>
      </c>
      <c r="K19" s="15">
        <f>AVERAGE(L16:L19)</f>
        <v>-0.905718551551847</v>
      </c>
      <c r="L19" s="15">
        <f>('Cashflow'!D20-'Cashflow'!C20)/'Cashflow'!C20</f>
        <v>-0.86517402312174</v>
      </c>
    </row>
    <row r="20" ht="20.05" customHeight="1">
      <c r="B20" s="31"/>
      <c r="C20" s="12">
        <v>3144</v>
      </c>
      <c r="D20" s="21"/>
      <c r="E20" s="17">
        <v>350.75</v>
      </c>
      <c r="F20" s="17">
        <v>11</v>
      </c>
      <c r="G20" s="17">
        <v>-360</v>
      </c>
      <c r="H20" s="17">
        <f>AVERAGE(G17:G20)</f>
        <v>-167</v>
      </c>
      <c r="I20" s="15">
        <f>C20/C19-1</f>
        <v>-0.0637284097677189</v>
      </c>
      <c r="J20" s="15">
        <f>(E20+G20-F20-C20)/C20</f>
        <v>-1.00644083969466</v>
      </c>
      <c r="K20" s="15">
        <f>AVERAGE(L17:L20)</f>
        <v>-0.882079931563301</v>
      </c>
      <c r="L20" s="15">
        <f>('Cashflow'!D21-'Cashflow'!C21)/'Cashflow'!C21</f>
        <v>-0.938677969158626</v>
      </c>
    </row>
    <row r="21" ht="20.05" customHeight="1">
      <c r="B21" s="31"/>
      <c r="C21" s="12">
        <v>3593</v>
      </c>
      <c r="D21" s="21"/>
      <c r="E21" s="17">
        <v>350.75</v>
      </c>
      <c r="F21" s="17">
        <v>32</v>
      </c>
      <c r="G21" s="17">
        <v>-162</v>
      </c>
      <c r="H21" s="17">
        <f>AVERAGE(G18:G21)</f>
        <v>-211.5</v>
      </c>
      <c r="I21" s="15">
        <f>C21/C20-1</f>
        <v>0.142811704834606</v>
      </c>
      <c r="J21" s="15">
        <f>(E21+G21-F21-C21)/C21</f>
        <v>-0.956373504035625</v>
      </c>
      <c r="K21" s="15">
        <f>AVERAGE(L18:L21)</f>
        <v>-0.873202288336894</v>
      </c>
      <c r="L21" s="15">
        <f>('Cashflow'!D22-'Cashflow'!C22)/'Cashflow'!C22</f>
        <v>-0.831211053914928</v>
      </c>
    </row>
    <row r="22" ht="20.05" customHeight="1">
      <c r="B22" s="31"/>
      <c r="C22" s="12">
        <v>3555</v>
      </c>
      <c r="D22" s="21"/>
      <c r="E22" s="17">
        <v>350.75</v>
      </c>
      <c r="F22" s="17">
        <v>125</v>
      </c>
      <c r="G22" s="17">
        <v>-45</v>
      </c>
      <c r="H22" s="17">
        <f>AVERAGE(G19:G22)</f>
        <v>-160.5</v>
      </c>
      <c r="I22" s="15">
        <f>C22/C21-1</f>
        <v>-0.0105761202337879</v>
      </c>
      <c r="J22" s="15">
        <f>(E22+G22-F22-C22)/C22</f>
        <v>-0.94915611814346</v>
      </c>
      <c r="K22" s="15">
        <f>AVERAGE(L19:L22)</f>
        <v>-0.88063559056151</v>
      </c>
      <c r="L22" s="15">
        <f>('Cashflow'!D23-'Cashflow'!C23)/'Cashflow'!C23</f>
        <v>-0.887479316050745</v>
      </c>
    </row>
    <row r="23" ht="20.05" customHeight="1">
      <c r="B23" s="33">
        <v>2020</v>
      </c>
      <c r="C23" s="12">
        <v>3316.3</v>
      </c>
      <c r="D23" s="13">
        <v>3593.06</v>
      </c>
      <c r="E23" s="17">
        <v>306</v>
      </c>
      <c r="F23" s="17">
        <v>-141</v>
      </c>
      <c r="G23" s="17">
        <v>-77.40000000000001</v>
      </c>
      <c r="H23" s="17">
        <f>AVERAGE(G20:G23)</f>
        <v>-161.1</v>
      </c>
      <c r="I23" s="15">
        <f>C23/C22-1</f>
        <v>-0.0671448663853727</v>
      </c>
      <c r="J23" s="15">
        <f>(E23+G23-F23-C23)/C23</f>
        <v>-0.888550493019329</v>
      </c>
      <c r="K23" s="15">
        <f>AVERAGE(L20:L23)</f>
        <v>-0.852671115316106</v>
      </c>
      <c r="L23" s="15">
        <f>('Cashflow'!D24-'Cashflow'!C24)/'Cashflow'!C24</f>
        <v>-0.753316122140123</v>
      </c>
    </row>
    <row r="24" ht="20.05" customHeight="1">
      <c r="B24" s="31"/>
      <c r="C24" s="12">
        <v>3556.7</v>
      </c>
      <c r="D24" s="13">
        <v>3301.2</v>
      </c>
      <c r="E24" s="17">
        <f>641-E23</f>
        <v>335</v>
      </c>
      <c r="F24" s="17">
        <v>-6</v>
      </c>
      <c r="G24" s="17">
        <v>-300.6</v>
      </c>
      <c r="H24" s="17">
        <f>AVERAGE(G21:G24)</f>
        <v>-146.25</v>
      </c>
      <c r="I24" s="15">
        <f>C24/C23-1</f>
        <v>0.0724904260772548</v>
      </c>
      <c r="J24" s="15">
        <f>(E24+G24-F24-C24)/C24</f>
        <v>-0.988641156127871</v>
      </c>
      <c r="K24" s="15">
        <f>AVERAGE(L21:L24)</f>
        <v>-0.80648769454574</v>
      </c>
      <c r="L24" s="15">
        <f>('Cashflow'!D25-'Cashflow'!C25)/'Cashflow'!C25</f>
        <v>-0.753944286077164</v>
      </c>
    </row>
    <row r="25" ht="20.05" customHeight="1">
      <c r="B25" s="31"/>
      <c r="C25" s="12">
        <v>3440</v>
      </c>
      <c r="D25" s="13">
        <v>3700.79</v>
      </c>
      <c r="E25" s="17">
        <f>1014-E24-E23</f>
        <v>373</v>
      </c>
      <c r="F25" s="17">
        <f>-25-F24-F23</f>
        <v>122</v>
      </c>
      <c r="G25" s="17">
        <f>-237-G24-G23</f>
        <v>141</v>
      </c>
      <c r="H25" s="17">
        <f>AVERAGE(G22:G25)</f>
        <v>-70.5</v>
      </c>
      <c r="I25" s="15">
        <f>C25/C24-1</f>
        <v>-0.0328113138583518</v>
      </c>
      <c r="J25" s="15">
        <f>(E25+G25-F25-C25)/C25</f>
        <v>-0.886046511627907</v>
      </c>
      <c r="K25" s="15">
        <f>AVERAGE(L22:L25)</f>
        <v>-0.827104295313144</v>
      </c>
      <c r="L25" s="15">
        <f>('Cashflow'!D26-'Cashflow'!C26)/'Cashflow'!C26</f>
        <v>-0.9136774569845439</v>
      </c>
    </row>
    <row r="26" ht="20.05" customHeight="1">
      <c r="B26" s="31"/>
      <c r="C26" s="12">
        <v>4161.7</v>
      </c>
      <c r="D26" s="13">
        <v>3784</v>
      </c>
      <c r="E26" s="17">
        <v>347.6</v>
      </c>
      <c r="F26" s="17">
        <v>28.1</v>
      </c>
      <c r="G26" s="17">
        <v>577.3</v>
      </c>
      <c r="H26" s="17">
        <f>AVERAGE(G23:G26)</f>
        <v>85.075</v>
      </c>
      <c r="I26" s="15">
        <f>C26/C25-1</f>
        <v>0.209796511627907</v>
      </c>
      <c r="J26" s="15">
        <f>(E26+G26-F26-C26)/C26</f>
        <v>-0.784511137275633</v>
      </c>
      <c r="K26" s="15">
        <f>AVERAGE(L23:L26)</f>
        <v>-0.824181273780353</v>
      </c>
      <c r="L26" s="15">
        <f>('Cashflow'!D27-'Cashflow'!C27)/'Cashflow'!C27</f>
        <v>-0.875787229919581</v>
      </c>
    </row>
    <row r="27" ht="20.05" customHeight="1">
      <c r="B27" s="33">
        <v>2021</v>
      </c>
      <c r="C27" s="12">
        <v>4699.2</v>
      </c>
      <c r="D27" s="13">
        <v>4286.551</v>
      </c>
      <c r="E27" s="17">
        <v>303.5</v>
      </c>
      <c r="F27" s="17">
        <v>1.3</v>
      </c>
      <c r="G27" s="17">
        <v>189.1</v>
      </c>
      <c r="H27" s="17">
        <f>AVERAGE(G24:G27)</f>
        <v>151.7</v>
      </c>
      <c r="I27" s="15">
        <f>C27/C26-1</f>
        <v>0.1291539515102</v>
      </c>
      <c r="J27" s="15">
        <f>(E27+G27-F27-C27)/C27</f>
        <v>-0.8954502894109641</v>
      </c>
      <c r="K27" s="15">
        <f>AVERAGE(L24:L27)</f>
        <v>-0.833469920895974</v>
      </c>
      <c r="L27" s="15">
        <f>('Cashflow'!D28-'Cashflow'!C28)/'Cashflow'!C28</f>
        <v>-0.790470710602607</v>
      </c>
    </row>
    <row r="28" ht="20.05" customHeight="1">
      <c r="B28" s="31"/>
      <c r="C28" s="12">
        <f>8957.6-C27</f>
        <v>4258.4</v>
      </c>
      <c r="D28" s="13">
        <v>4793.184</v>
      </c>
      <c r="E28" s="20">
        <f>679.5-E27</f>
        <v>376</v>
      </c>
      <c r="F28" s="34">
        <f>-33.9-F27</f>
        <v>-35.2</v>
      </c>
      <c r="G28" s="17">
        <f>353.1-G27</f>
        <v>164</v>
      </c>
      <c r="H28" s="17">
        <f>AVERAGE(G25:G28)</f>
        <v>267.85</v>
      </c>
      <c r="I28" s="15">
        <f>C28/C27-1</f>
        <v>-0.0938032005447736</v>
      </c>
      <c r="J28" s="15">
        <f>(E28+G28-F28-C28)/C28</f>
        <v>-0.864925793725343</v>
      </c>
      <c r="K28" s="15">
        <f>AVERAGE(L25:L28)</f>
        <v>-0.86778621845399</v>
      </c>
      <c r="L28" s="15">
        <f>('Cashflow'!D29-'Cashflow'!C29)/'Cashflow'!C29</f>
        <v>-0.891209476309227</v>
      </c>
    </row>
    <row r="29" ht="20.05" customHeight="1">
      <c r="B29" s="31"/>
      <c r="C29" s="12">
        <f>14125.4-SUM(C27:C28)</f>
        <v>5167.8</v>
      </c>
      <c r="D29" s="13">
        <v>4300.984</v>
      </c>
      <c r="E29" s="17">
        <f>1065.2-SUM(E27:E28)</f>
        <v>385.7</v>
      </c>
      <c r="F29" s="17">
        <f>87.3-SUM(F27:F28)</f>
        <v>121.2</v>
      </c>
      <c r="G29" s="17">
        <f>1964.2-SUM(G27:G28)</f>
        <v>1611.1</v>
      </c>
      <c r="H29" s="17">
        <f>AVERAGE(G26:G29)</f>
        <v>635.375</v>
      </c>
      <c r="I29" s="15">
        <f>C29/C28-1</f>
        <v>0.213554386624084</v>
      </c>
      <c r="J29" s="15">
        <f>(E29+G29-F29-C29)/C29</f>
        <v>-0.637060257749913</v>
      </c>
      <c r="K29" s="15">
        <f>AVERAGE(L26:L29)</f>
        <v>-0.835737626177428</v>
      </c>
      <c r="L29" s="15">
        <f>('Cashflow'!D30-'Cashflow'!C30)/'Cashflow'!C30</f>
        <v>-0.785483087878297</v>
      </c>
    </row>
    <row r="30" ht="20.05" customHeight="1">
      <c r="B30" s="31"/>
      <c r="C30" s="12"/>
      <c r="D30" s="13">
        <f>'Model '!C6</f>
        <v>5736.258</v>
      </c>
      <c r="E30" s="20"/>
      <c r="F30" s="20"/>
      <c r="G30" s="17"/>
      <c r="H30" s="34">
        <f>'Model '!F21</f>
        <v>621.967156324760</v>
      </c>
      <c r="I30" s="21"/>
      <c r="J30" s="11">
        <f>'Model '!C7</f>
        <v>-0.835737626177428</v>
      </c>
      <c r="K30" s="21"/>
      <c r="L30" s="15"/>
    </row>
    <row r="31" ht="20.05" customHeight="1">
      <c r="B31" s="33">
        <v>2022</v>
      </c>
      <c r="C31" s="12"/>
      <c r="D31" s="13">
        <f>'Model '!D6</f>
        <v>5564.17026</v>
      </c>
      <c r="E31" s="20"/>
      <c r="F31" s="20"/>
      <c r="G31" s="17"/>
      <c r="H31" s="20"/>
      <c r="I31" s="21"/>
      <c r="J31" s="11"/>
      <c r="K31" s="11"/>
      <c r="L31" s="11"/>
    </row>
    <row r="32" ht="20.05" customHeight="1">
      <c r="B32" s="31"/>
      <c r="C32" s="35"/>
      <c r="D32" s="13">
        <f>'Model '!E6</f>
        <v>5842.378773</v>
      </c>
      <c r="E32" s="21"/>
      <c r="F32" s="21"/>
      <c r="G32" s="13"/>
      <c r="H32" s="20"/>
      <c r="I32" s="21"/>
      <c r="J32" s="21"/>
      <c r="K32" s="21"/>
      <c r="L32" s="21"/>
    </row>
    <row r="33" ht="20.05" customHeight="1">
      <c r="B33" s="31"/>
      <c r="C33" s="12"/>
      <c r="D33" s="13">
        <f>'Model '!F6</f>
        <v>6134.49771165</v>
      </c>
      <c r="E33" s="21"/>
      <c r="F33" s="21"/>
      <c r="G33" s="13"/>
      <c r="H33" s="20"/>
      <c r="I33" s="21"/>
      <c r="J33" s="21"/>
      <c r="K33" s="21"/>
      <c r="L33" s="21"/>
    </row>
  </sheetData>
  <mergeCells count="1">
    <mergeCell ref="B1:L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60156" style="36" customWidth="1"/>
    <col min="2" max="2" width="7.91406" style="36" customWidth="1"/>
    <col min="3" max="4" width="11.1172" style="36" customWidth="1"/>
    <col min="5" max="5" width="10.8906" style="36" customWidth="1"/>
    <col min="6" max="11" width="10.1875" style="36" customWidth="1"/>
    <col min="12" max="16384" width="16.3516" style="36" customWidth="1"/>
  </cols>
  <sheetData>
    <row r="1" ht="24.3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4">
        <v>1</v>
      </c>
      <c r="C3" t="s" s="24">
        <v>48</v>
      </c>
      <c r="D3" t="s" s="24">
        <v>8</v>
      </c>
      <c r="E3" t="s" s="24">
        <v>49</v>
      </c>
      <c r="F3" t="s" s="24">
        <v>11</v>
      </c>
      <c r="G3" t="s" s="24">
        <v>25</v>
      </c>
      <c r="H3" t="s" s="24">
        <v>10</v>
      </c>
      <c r="I3" t="s" s="24">
        <v>50</v>
      </c>
      <c r="J3" t="s" s="24">
        <v>33</v>
      </c>
      <c r="K3" t="s" s="24">
        <v>29</v>
      </c>
    </row>
    <row r="4" ht="20.25" customHeight="1">
      <c r="B4" s="25">
        <v>2015</v>
      </c>
      <c r="C4" s="37">
        <v>2565</v>
      </c>
      <c r="D4" s="27">
        <v>-42</v>
      </c>
      <c r="E4" s="27">
        <v>-855</v>
      </c>
      <c r="F4" s="27"/>
      <c r="G4" s="27"/>
      <c r="H4" s="27">
        <v>46</v>
      </c>
      <c r="I4" s="27">
        <f>D4+E4</f>
        <v>-897</v>
      </c>
      <c r="J4" s="7"/>
      <c r="K4" s="28">
        <f>-H4</f>
        <v>-46</v>
      </c>
    </row>
    <row r="5" ht="20.05" customHeight="1">
      <c r="B5" s="31"/>
      <c r="C5" s="16">
        <v>3850</v>
      </c>
      <c r="D5" s="17">
        <v>376</v>
      </c>
      <c r="E5" s="17">
        <v>-1001</v>
      </c>
      <c r="F5" s="17"/>
      <c r="G5" s="17"/>
      <c r="H5" s="17">
        <v>111</v>
      </c>
      <c r="I5" s="17">
        <f>D5+E5</f>
        <v>-625</v>
      </c>
      <c r="J5" s="21"/>
      <c r="K5" s="20">
        <f>-H5+K4</f>
        <v>-157</v>
      </c>
    </row>
    <row r="6" ht="20.05" customHeight="1">
      <c r="B6" s="31"/>
      <c r="C6" s="16">
        <v>3498</v>
      </c>
      <c r="D6" s="17">
        <v>557</v>
      </c>
      <c r="E6" s="17">
        <v>-542</v>
      </c>
      <c r="F6" s="17"/>
      <c r="G6" s="17"/>
      <c r="H6" s="17">
        <v>-39</v>
      </c>
      <c r="I6" s="17">
        <f>D6+E6</f>
        <v>15</v>
      </c>
      <c r="J6" s="21"/>
      <c r="K6" s="20">
        <f>-H6+K5</f>
        <v>-118</v>
      </c>
    </row>
    <row r="7" ht="20.05" customHeight="1">
      <c r="B7" s="31"/>
      <c r="C7" s="16">
        <v>3857</v>
      </c>
      <c r="D7" s="17">
        <v>774</v>
      </c>
      <c r="E7" s="17">
        <v>-558</v>
      </c>
      <c r="F7" s="17"/>
      <c r="G7" s="17"/>
      <c r="H7" s="17">
        <v>-107</v>
      </c>
      <c r="I7" s="17">
        <f>D7+E7</f>
        <v>216</v>
      </c>
      <c r="J7" s="21"/>
      <c r="K7" s="20">
        <f>-H7+K6</f>
        <v>-11</v>
      </c>
    </row>
    <row r="8" ht="20.05" customHeight="1">
      <c r="B8" s="33">
        <v>2016</v>
      </c>
      <c r="C8" s="16">
        <v>3031.5</v>
      </c>
      <c r="D8" s="17">
        <v>267</v>
      </c>
      <c r="E8" s="17">
        <v>-532</v>
      </c>
      <c r="F8" s="17"/>
      <c r="G8" s="17"/>
      <c r="H8" s="17">
        <v>346</v>
      </c>
      <c r="I8" s="17">
        <f>D8+E8</f>
        <v>-265</v>
      </c>
      <c r="J8" s="17">
        <f>AVERAGE(I5:I8)</f>
        <v>-164.75</v>
      </c>
      <c r="K8" s="20">
        <f>-H8+K7</f>
        <v>-357</v>
      </c>
    </row>
    <row r="9" ht="20.05" customHeight="1">
      <c r="B9" s="31"/>
      <c r="C9" s="16">
        <v>3226.5</v>
      </c>
      <c r="D9" s="17">
        <v>-218</v>
      </c>
      <c r="E9" s="17">
        <v>-354</v>
      </c>
      <c r="F9" s="17"/>
      <c r="G9" s="17"/>
      <c r="H9" s="17">
        <v>371</v>
      </c>
      <c r="I9" s="17">
        <f>D9+E9</f>
        <v>-572</v>
      </c>
      <c r="J9" s="17">
        <f>AVERAGE(I6:I9)</f>
        <v>-151.5</v>
      </c>
      <c r="K9" s="20">
        <f>-H9+K8</f>
        <v>-728</v>
      </c>
    </row>
    <row r="10" ht="20.05" customHeight="1">
      <c r="B10" s="31"/>
      <c r="C10" s="16">
        <v>3759.8</v>
      </c>
      <c r="D10" s="17">
        <v>892</v>
      </c>
      <c r="E10" s="17">
        <v>-414</v>
      </c>
      <c r="F10" s="17"/>
      <c r="G10" s="17"/>
      <c r="H10" s="17">
        <v>-507</v>
      </c>
      <c r="I10" s="17">
        <f>D10+E10</f>
        <v>478</v>
      </c>
      <c r="J10" s="17">
        <f>AVERAGE(I7:I10)</f>
        <v>-35.75</v>
      </c>
      <c r="K10" s="20">
        <f>-H10+K9</f>
        <v>-221</v>
      </c>
    </row>
    <row r="11" ht="20.05" customHeight="1">
      <c r="B11" s="31"/>
      <c r="C11" s="16">
        <v>4552.9</v>
      </c>
      <c r="D11" s="17">
        <v>1221</v>
      </c>
      <c r="E11" s="17">
        <v>-462</v>
      </c>
      <c r="F11" s="17"/>
      <c r="G11" s="17"/>
      <c r="H11" s="17">
        <v>-192.5</v>
      </c>
      <c r="I11" s="17">
        <f>D11+E11</f>
        <v>759</v>
      </c>
      <c r="J11" s="17">
        <f>AVERAGE(I8:I11)</f>
        <v>100</v>
      </c>
      <c r="K11" s="20">
        <f>-H11+K10</f>
        <v>-28.5</v>
      </c>
    </row>
    <row r="12" ht="20.05" customHeight="1">
      <c r="B12" s="33">
        <v>2017</v>
      </c>
      <c r="C12" s="16">
        <v>3954.9</v>
      </c>
      <c r="D12" s="17">
        <v>252</v>
      </c>
      <c r="E12" s="17">
        <v>-361</v>
      </c>
      <c r="F12" s="17"/>
      <c r="G12" s="17"/>
      <c r="H12" s="17">
        <v>405</v>
      </c>
      <c r="I12" s="17">
        <f>D12+E12</f>
        <v>-109</v>
      </c>
      <c r="J12" s="17">
        <f>AVERAGE(I9:I12)</f>
        <v>139</v>
      </c>
      <c r="K12" s="20">
        <f>-H12+K11</f>
        <v>-433.5</v>
      </c>
    </row>
    <row r="13" ht="20.05" customHeight="1">
      <c r="B13" s="31"/>
      <c r="C13" s="16">
        <v>3999.6</v>
      </c>
      <c r="D13" s="17">
        <v>309</v>
      </c>
      <c r="E13" s="17">
        <v>-463</v>
      </c>
      <c r="F13" s="17"/>
      <c r="G13" s="17"/>
      <c r="H13" s="17">
        <v>52</v>
      </c>
      <c r="I13" s="17">
        <f>D13+E13</f>
        <v>-154</v>
      </c>
      <c r="J13" s="17">
        <f>AVERAGE(I10:I13)</f>
        <v>243.5</v>
      </c>
      <c r="K13" s="20">
        <f>-H13+K12</f>
        <v>-485.5</v>
      </c>
    </row>
    <row r="14" ht="20.05" customHeight="1">
      <c r="B14" s="31"/>
      <c r="C14" s="16">
        <v>4072.4</v>
      </c>
      <c r="D14" s="17">
        <v>1261</v>
      </c>
      <c r="E14" s="17">
        <v>-619</v>
      </c>
      <c r="F14" s="17"/>
      <c r="G14" s="17"/>
      <c r="H14" s="17">
        <v>-765</v>
      </c>
      <c r="I14" s="17">
        <f>D14+E14</f>
        <v>642</v>
      </c>
      <c r="J14" s="17">
        <f>AVERAGE(I11:I14)</f>
        <v>284.5</v>
      </c>
      <c r="K14" s="20">
        <f>-H14+K13</f>
        <v>279.5</v>
      </c>
    </row>
    <row r="15" ht="20.05" customHeight="1">
      <c r="B15" s="31"/>
      <c r="C15" s="16">
        <v>3479.3</v>
      </c>
      <c r="D15" s="17">
        <v>163</v>
      </c>
      <c r="E15" s="17">
        <v>-420</v>
      </c>
      <c r="F15" s="17"/>
      <c r="G15" s="17"/>
      <c r="H15" s="17">
        <v>575</v>
      </c>
      <c r="I15" s="17">
        <f>D15+E15</f>
        <v>-257</v>
      </c>
      <c r="J15" s="17">
        <f>AVERAGE(I12:I15)</f>
        <v>30.5</v>
      </c>
      <c r="K15" s="20">
        <f>-H15+K14</f>
        <v>-295.5</v>
      </c>
    </row>
    <row r="16" ht="20.05" customHeight="1">
      <c r="B16" s="33">
        <v>2018</v>
      </c>
      <c r="C16" s="16">
        <v>3088.8</v>
      </c>
      <c r="D16" s="17">
        <v>243</v>
      </c>
      <c r="E16" s="17">
        <v>-406</v>
      </c>
      <c r="F16" s="17"/>
      <c r="G16" s="17"/>
      <c r="H16" s="17">
        <v>215</v>
      </c>
      <c r="I16" s="17">
        <f>D16+E16</f>
        <v>-163</v>
      </c>
      <c r="J16" s="17">
        <f>AVERAGE(I13:I16)</f>
        <v>17</v>
      </c>
      <c r="K16" s="20">
        <f>-H16+K15</f>
        <v>-510.5</v>
      </c>
    </row>
    <row r="17" ht="20.05" customHeight="1">
      <c r="B17" s="31"/>
      <c r="C17" s="16">
        <v>3370.2</v>
      </c>
      <c r="D17" s="17">
        <v>-112</v>
      </c>
      <c r="E17" s="17">
        <v>-594</v>
      </c>
      <c r="F17" s="17"/>
      <c r="G17" s="17"/>
      <c r="H17" s="17">
        <v>772</v>
      </c>
      <c r="I17" s="17">
        <f>D17+E17</f>
        <v>-706</v>
      </c>
      <c r="J17" s="17">
        <f>AVERAGE(I14:I17)</f>
        <v>-121</v>
      </c>
      <c r="K17" s="20">
        <f>-H17+K16</f>
        <v>-1282.5</v>
      </c>
    </row>
    <row r="18" ht="20.05" customHeight="1">
      <c r="B18" s="31"/>
      <c r="C18" s="16">
        <v>3639</v>
      </c>
      <c r="D18" s="17">
        <v>485</v>
      </c>
      <c r="E18" s="17">
        <v>-595</v>
      </c>
      <c r="F18" s="17"/>
      <c r="G18" s="17"/>
      <c r="H18" s="17">
        <v>-94</v>
      </c>
      <c r="I18" s="17">
        <f>D18+E18</f>
        <v>-110</v>
      </c>
      <c r="J18" s="17">
        <f>AVERAGE(I15:I18)</f>
        <v>-309</v>
      </c>
      <c r="K18" s="20">
        <f>-H18+K17</f>
        <v>-1188.5</v>
      </c>
    </row>
    <row r="19" ht="20.05" customHeight="1">
      <c r="B19" s="31"/>
      <c r="C19" s="16">
        <v>3789</v>
      </c>
      <c r="D19" s="17">
        <v>539</v>
      </c>
      <c r="E19" s="17">
        <v>-525</v>
      </c>
      <c r="F19" s="17"/>
      <c r="G19" s="17"/>
      <c r="H19" s="17">
        <v>-147</v>
      </c>
      <c r="I19" s="17">
        <f>D19+E19</f>
        <v>14</v>
      </c>
      <c r="J19" s="17">
        <f>AVERAGE(I16:I19)</f>
        <v>-241.25</v>
      </c>
      <c r="K19" s="20">
        <f>-H19+K18</f>
        <v>-1041.5</v>
      </c>
    </row>
    <row r="20" ht="20.05" customHeight="1">
      <c r="B20" s="33">
        <v>2019</v>
      </c>
      <c r="C20" s="16">
        <v>3278.3</v>
      </c>
      <c r="D20" s="17">
        <v>442</v>
      </c>
      <c r="E20" s="17">
        <v>-854</v>
      </c>
      <c r="F20" s="17"/>
      <c r="G20" s="17"/>
      <c r="H20" s="17">
        <v>467</v>
      </c>
      <c r="I20" s="17">
        <f>D20+E20</f>
        <v>-412</v>
      </c>
      <c r="J20" s="17">
        <f>AVERAGE(I17:I20)</f>
        <v>-303.5</v>
      </c>
      <c r="K20" s="20">
        <f>-H20+K19</f>
        <v>-1508.5</v>
      </c>
    </row>
    <row r="21" ht="20.05" customHeight="1">
      <c r="B21" s="31"/>
      <c r="C21" s="16">
        <v>3326.7</v>
      </c>
      <c r="D21" s="17">
        <v>204</v>
      </c>
      <c r="E21" s="17">
        <v>-569</v>
      </c>
      <c r="F21" s="17"/>
      <c r="G21" s="17"/>
      <c r="H21" s="17">
        <v>97</v>
      </c>
      <c r="I21" s="17">
        <f>D21+E21</f>
        <v>-365</v>
      </c>
      <c r="J21" s="17">
        <f>AVERAGE(I18:I21)</f>
        <v>-218.25</v>
      </c>
      <c r="K21" s="20">
        <f>-H21+K20</f>
        <v>-1605.5</v>
      </c>
    </row>
    <row r="22" ht="20.05" customHeight="1">
      <c r="B22" s="31"/>
      <c r="C22" s="16">
        <v>3691</v>
      </c>
      <c r="D22" s="17">
        <v>623</v>
      </c>
      <c r="E22" s="17">
        <v>-491</v>
      </c>
      <c r="F22" s="17"/>
      <c r="G22" s="17"/>
      <c r="H22" s="17">
        <v>-128</v>
      </c>
      <c r="I22" s="17">
        <f>D22+E22</f>
        <v>132</v>
      </c>
      <c r="J22" s="17">
        <f>AVERAGE(I19:I22)</f>
        <v>-157.75</v>
      </c>
      <c r="K22" s="20">
        <f>-H22+K21</f>
        <v>-1477.5</v>
      </c>
    </row>
    <row r="23" ht="20.05" customHeight="1">
      <c r="B23" s="31"/>
      <c r="C23" s="16">
        <v>3626</v>
      </c>
      <c r="D23" s="17">
        <v>408</v>
      </c>
      <c r="E23" s="17">
        <v>-600</v>
      </c>
      <c r="F23" s="17"/>
      <c r="G23" s="17"/>
      <c r="H23" s="17">
        <v>72</v>
      </c>
      <c r="I23" s="17">
        <f>D23+E23</f>
        <v>-192</v>
      </c>
      <c r="J23" s="17">
        <f>AVERAGE(I20:I23)</f>
        <v>-209.25</v>
      </c>
      <c r="K23" s="20">
        <f>-H23+K22</f>
        <v>-1549.5</v>
      </c>
    </row>
    <row r="24" ht="20.05" customHeight="1">
      <c r="B24" s="33">
        <v>2020</v>
      </c>
      <c r="C24" s="16">
        <v>3369.9</v>
      </c>
      <c r="D24" s="17">
        <v>831.3</v>
      </c>
      <c r="E24" s="17">
        <v>-382.9</v>
      </c>
      <c r="F24" s="17"/>
      <c r="G24" s="17"/>
      <c r="H24" s="17">
        <v>-187.2</v>
      </c>
      <c r="I24" s="17">
        <f>D24+E24</f>
        <v>448.4</v>
      </c>
      <c r="J24" s="17">
        <f>AVERAGE(I21:I24)</f>
        <v>5.85</v>
      </c>
      <c r="K24" s="20">
        <f>-H24+K23</f>
        <v>-1362.3</v>
      </c>
    </row>
    <row r="25" ht="20.05" customHeight="1">
      <c r="B25" s="31"/>
      <c r="C25" s="16">
        <v>3543.1</v>
      </c>
      <c r="D25" s="17">
        <v>871.8</v>
      </c>
      <c r="E25" s="17">
        <v>-343.1</v>
      </c>
      <c r="F25" s="17"/>
      <c r="G25" s="17"/>
      <c r="H25" s="17">
        <v>121</v>
      </c>
      <c r="I25" s="17">
        <f>D25+E25</f>
        <v>528.7</v>
      </c>
      <c r="J25" s="17">
        <f>AVERAGE(I22:I25)</f>
        <v>229.275</v>
      </c>
      <c r="K25" s="20">
        <f>-H25+K24</f>
        <v>-1483.3</v>
      </c>
    </row>
    <row r="26" ht="20.05" customHeight="1">
      <c r="B26" s="31"/>
      <c r="C26" s="16">
        <v>3429</v>
      </c>
      <c r="D26" s="17">
        <v>296</v>
      </c>
      <c r="E26" s="17">
        <v>-407</v>
      </c>
      <c r="F26" s="17"/>
      <c r="G26" s="17"/>
      <c r="H26" s="17">
        <v>441</v>
      </c>
      <c r="I26" s="17">
        <f>D26+E26</f>
        <v>-111</v>
      </c>
      <c r="J26" s="17">
        <f>AVERAGE(I23:I26)</f>
        <v>168.525</v>
      </c>
      <c r="K26" s="20">
        <f>-H26+K25</f>
        <v>-1924.3</v>
      </c>
    </row>
    <row r="27" ht="20.05" customHeight="1">
      <c r="B27" s="31"/>
      <c r="C27" s="16">
        <f>14470.4-SUM(C24:C26)</f>
        <v>4128.4</v>
      </c>
      <c r="D27" s="17">
        <f>2511.9-SUM(D24:D26)</f>
        <v>512.8</v>
      </c>
      <c r="E27" s="17">
        <f>-1575.5-SUM(E24:E26)</f>
        <v>-442.5</v>
      </c>
      <c r="F27" s="17"/>
      <c r="G27" s="17"/>
      <c r="H27" s="17">
        <f>-235.7-SUM(H24:H26)</f>
        <v>-610.5</v>
      </c>
      <c r="I27" s="17">
        <f>D27+E27</f>
        <v>70.3</v>
      </c>
      <c r="J27" s="17">
        <f>AVERAGE(I24:I27)</f>
        <v>234.1</v>
      </c>
      <c r="K27" s="20">
        <f>-H27+K26</f>
        <v>-1313.8</v>
      </c>
    </row>
    <row r="28" ht="20.05" customHeight="1">
      <c r="B28" s="33">
        <v>2021</v>
      </c>
      <c r="C28" s="16">
        <v>4518.7</v>
      </c>
      <c r="D28" s="17">
        <v>946.8</v>
      </c>
      <c r="E28" s="17">
        <v>-293.7</v>
      </c>
      <c r="F28" s="17">
        <v>-46.846</v>
      </c>
      <c r="G28" s="17"/>
      <c r="H28" s="17">
        <f>-46.8</f>
        <v>-46.8</v>
      </c>
      <c r="I28" s="17">
        <f>D28+E28</f>
        <v>653.1</v>
      </c>
      <c r="J28" s="17">
        <f>AVERAGE(I25:I28)</f>
        <v>285.275</v>
      </c>
      <c r="K28" s="20">
        <f>-(F28+G28)+K27</f>
        <v>-1266.954</v>
      </c>
    </row>
    <row r="29" ht="20.05" customHeight="1">
      <c r="B29" s="31"/>
      <c r="C29" s="16">
        <f>9009.9-C28</f>
        <v>4491.2</v>
      </c>
      <c r="D29" s="17">
        <f>1435.4-D28</f>
        <v>488.6</v>
      </c>
      <c r="E29" s="17">
        <f>-599.2-E28</f>
        <v>-305.5</v>
      </c>
      <c r="F29" s="17">
        <f>-259.778-F28-G29</f>
        <v>-102.932</v>
      </c>
      <c r="G29" s="17">
        <v>-110</v>
      </c>
      <c r="H29" s="17">
        <f>-259.8-H28</f>
        <v>-213</v>
      </c>
      <c r="I29" s="17">
        <f>D29+E29</f>
        <v>183.1</v>
      </c>
      <c r="J29" s="17">
        <f>AVERAGE(I26:I29)</f>
        <v>198.875</v>
      </c>
      <c r="K29" s="20">
        <f>-(F29+G29)+K28</f>
        <v>-1054.022</v>
      </c>
    </row>
    <row r="30" ht="20.05" customHeight="1">
      <c r="B30" s="31"/>
      <c r="C30" s="16">
        <f>13953.1-SUM(C28:C29)</f>
        <v>4943.2</v>
      </c>
      <c r="D30" s="17">
        <f>2495.8-SUM(D28:D29)</f>
        <v>1060.4</v>
      </c>
      <c r="E30" s="17">
        <f>-892.8-SUM(E28:E29)</f>
        <v>-293.6</v>
      </c>
      <c r="F30" s="17">
        <f>-508.13-F29-F28-G30-G29</f>
        <v>-145.619</v>
      </c>
      <c r="G30" s="17">
        <f>-110-47.503-55.23-G29</f>
        <v>-102.733</v>
      </c>
      <c r="H30" s="17">
        <f>-508.1-SUM(H28:H29)</f>
        <v>-248.3</v>
      </c>
      <c r="I30" s="17">
        <f>D30+E30</f>
        <v>766.8</v>
      </c>
      <c r="J30" s="17">
        <f>AVERAGE(I27:I30)</f>
        <v>418.325</v>
      </c>
      <c r="K30" s="20">
        <f>-(F30+G30)+K29</f>
        <v>-805.67</v>
      </c>
    </row>
    <row r="31" ht="20.05" customHeight="1">
      <c r="B31" s="31"/>
      <c r="C31" s="16"/>
      <c r="D31" s="17"/>
      <c r="E31" s="17"/>
      <c r="F31" s="17"/>
      <c r="G31" s="17"/>
      <c r="H31" s="17"/>
      <c r="I31" s="17"/>
      <c r="J31" s="17">
        <f>'Model '!F9+'Model '!F10</f>
        <v>714.067156324760</v>
      </c>
      <c r="K31" s="17">
        <f>'Model '!F32</f>
        <v>1843.515333547630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8" customWidth="1"/>
    <col min="2" max="2" width="6.26562" style="38" customWidth="1"/>
    <col min="3" max="11" width="9.98438" style="38" customWidth="1"/>
    <col min="12" max="16384" width="16.3516" style="38" customWidth="1"/>
  </cols>
  <sheetData>
    <row r="1" ht="35.7" customHeight="1"/>
    <row r="2" ht="27.65" customHeight="1">
      <c r="B2" t="s" s="2">
        <v>51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4">
        <v>1</v>
      </c>
      <c r="C3" t="s" s="24">
        <v>52</v>
      </c>
      <c r="D3" t="s" s="24">
        <v>51</v>
      </c>
      <c r="E3" t="s" s="24">
        <v>53</v>
      </c>
      <c r="F3" t="s" s="24">
        <v>23</v>
      </c>
      <c r="G3" t="s" s="24">
        <v>11</v>
      </c>
      <c r="H3" t="s" s="24">
        <v>25</v>
      </c>
      <c r="I3" t="s" s="24">
        <v>54</v>
      </c>
      <c r="J3" t="s" s="24">
        <v>55</v>
      </c>
      <c r="K3" t="s" s="24">
        <v>35</v>
      </c>
    </row>
    <row r="4" ht="20.25" customHeight="1">
      <c r="B4" s="25">
        <v>2015</v>
      </c>
      <c r="C4" s="37">
        <v>1859</v>
      </c>
      <c r="D4" s="27">
        <v>31705</v>
      </c>
      <c r="E4" s="27">
        <f>D4-C4</f>
        <v>29846</v>
      </c>
      <c r="F4" s="27">
        <f>4292+2541</f>
        <v>6833</v>
      </c>
      <c r="G4" s="27">
        <v>15234</v>
      </c>
      <c r="H4" s="27">
        <v>16471</v>
      </c>
      <c r="I4" s="27">
        <f>G4+H4-C4-E4</f>
        <v>0</v>
      </c>
      <c r="J4" s="27">
        <f>C4-G4</f>
        <v>-13375</v>
      </c>
      <c r="K4" s="27"/>
    </row>
    <row r="5" ht="20.05" customHeight="1">
      <c r="B5" s="31"/>
      <c r="C5" s="16">
        <v>1359</v>
      </c>
      <c r="D5" s="17">
        <v>32245</v>
      </c>
      <c r="E5" s="17">
        <f>D5-C5</f>
        <v>30886</v>
      </c>
      <c r="F5" s="17">
        <f>4489+2619</f>
        <v>7108</v>
      </c>
      <c r="G5" s="17">
        <v>15381</v>
      </c>
      <c r="H5" s="17">
        <v>16864</v>
      </c>
      <c r="I5" s="17">
        <f>G5+H5-C5-E5</f>
        <v>0</v>
      </c>
      <c r="J5" s="17">
        <f>C5-G5</f>
        <v>-14022</v>
      </c>
      <c r="K5" s="17"/>
    </row>
    <row r="6" ht="20.05" customHeight="1">
      <c r="B6" s="31"/>
      <c r="C6" s="16">
        <v>1383</v>
      </c>
      <c r="D6" s="17">
        <v>32097</v>
      </c>
      <c r="E6" s="17">
        <f>D6-C6</f>
        <v>30714</v>
      </c>
      <c r="F6" s="17">
        <f>4689+2697</f>
        <v>7386</v>
      </c>
      <c r="G6" s="17">
        <v>15258</v>
      </c>
      <c r="H6" s="17">
        <v>16839</v>
      </c>
      <c r="I6" s="17">
        <f>G6+H6-C6-E6</f>
        <v>0</v>
      </c>
      <c r="J6" s="17">
        <f>C6-G6</f>
        <v>-13875</v>
      </c>
      <c r="K6" s="17"/>
    </row>
    <row r="7" ht="20.05" customHeight="1">
      <c r="B7" s="31"/>
      <c r="C7" s="16">
        <v>1461</v>
      </c>
      <c r="D7" s="17">
        <v>31697</v>
      </c>
      <c r="E7" s="17">
        <f>D7-C7</f>
        <v>30236</v>
      </c>
      <c r="F7" s="17">
        <f>4896+2776</f>
        <v>7672</v>
      </c>
      <c r="G7" s="17">
        <v>14466</v>
      </c>
      <c r="H7" s="17">
        <v>17231</v>
      </c>
      <c r="I7" s="17">
        <f>G7+H7-C7-E7</f>
        <v>0</v>
      </c>
      <c r="J7" s="17">
        <f>C7-G7</f>
        <v>-13005</v>
      </c>
      <c r="K7" s="17"/>
    </row>
    <row r="8" ht="20.05" customHeight="1">
      <c r="B8" s="33">
        <v>2016</v>
      </c>
      <c r="C8" s="16">
        <v>1524</v>
      </c>
      <c r="D8" s="17">
        <v>32068</v>
      </c>
      <c r="E8" s="17">
        <f>D8-C8</f>
        <v>30544</v>
      </c>
      <c r="F8" s="17">
        <f>5118+2857</f>
        <v>7975</v>
      </c>
      <c r="G8" s="17">
        <v>14783</v>
      </c>
      <c r="H8" s="17">
        <v>17285</v>
      </c>
      <c r="I8" s="17">
        <f>G8+H8-C8-E8</f>
        <v>0</v>
      </c>
      <c r="J8" s="17">
        <f>C8-G8</f>
        <v>-13259</v>
      </c>
      <c r="K8" s="17"/>
    </row>
    <row r="9" ht="20.05" customHeight="1">
      <c r="B9" s="31"/>
      <c r="C9" s="16">
        <v>1325</v>
      </c>
      <c r="D9" s="17">
        <v>32584</v>
      </c>
      <c r="E9" s="17">
        <f>D9-C9</f>
        <v>31259</v>
      </c>
      <c r="F9" s="17">
        <f>2939+5333</f>
        <v>8272</v>
      </c>
      <c r="G9" s="17">
        <v>15404</v>
      </c>
      <c r="H9" s="17">
        <v>17180</v>
      </c>
      <c r="I9" s="17">
        <f>G9+H9-C9-E9</f>
        <v>0</v>
      </c>
      <c r="J9" s="17">
        <f>C9-G9</f>
        <v>-14079</v>
      </c>
      <c r="K9" s="17"/>
    </row>
    <row r="10" ht="20.05" customHeight="1">
      <c r="B10" s="31"/>
      <c r="C10" s="16">
        <v>1289</v>
      </c>
      <c r="D10" s="17">
        <v>32384</v>
      </c>
      <c r="E10" s="17">
        <f>D10-C10</f>
        <v>31095</v>
      </c>
      <c r="F10" s="17">
        <f>3026+5563</f>
        <v>8589</v>
      </c>
      <c r="G10" s="17">
        <v>15078</v>
      </c>
      <c r="H10" s="17">
        <v>17306</v>
      </c>
      <c r="I10" s="17">
        <f>G10+H10-C10-E10</f>
        <v>0</v>
      </c>
      <c r="J10" s="17">
        <f>C10-G10</f>
        <v>-13789</v>
      </c>
      <c r="K10" s="17"/>
    </row>
    <row r="11" ht="20.05" customHeight="1">
      <c r="B11" s="31"/>
      <c r="C11" s="16">
        <v>1868</v>
      </c>
      <c r="D11" s="17">
        <v>33063</v>
      </c>
      <c r="E11" s="17">
        <f>D11-C11</f>
        <v>31195</v>
      </c>
      <c r="F11" s="17">
        <v>8852</v>
      </c>
      <c r="G11" s="17">
        <v>15051</v>
      </c>
      <c r="H11" s="17">
        <v>18012</v>
      </c>
      <c r="I11" s="17">
        <f>G11+H11-C11-E11</f>
        <v>0</v>
      </c>
      <c r="J11" s="17">
        <f>C11-G11</f>
        <v>-13183</v>
      </c>
      <c r="K11" s="17"/>
    </row>
    <row r="12" ht="20.05" customHeight="1">
      <c r="B12" s="33">
        <v>2017</v>
      </c>
      <c r="C12" s="16">
        <v>2160</v>
      </c>
      <c r="D12" s="17">
        <v>33661</v>
      </c>
      <c r="E12" s="17">
        <f>D12-C12</f>
        <v>31501</v>
      </c>
      <c r="F12" s="17">
        <v>9166</v>
      </c>
      <c r="G12" s="17">
        <v>15576</v>
      </c>
      <c r="H12" s="17">
        <v>18085</v>
      </c>
      <c r="I12" s="17">
        <f>G12+H12-C12-E12</f>
        <v>0</v>
      </c>
      <c r="J12" s="17">
        <f>C12-G12</f>
        <v>-13416</v>
      </c>
      <c r="K12" s="17"/>
    </row>
    <row r="13" ht="20.05" customHeight="1">
      <c r="B13" s="31"/>
      <c r="C13" s="16">
        <v>2057</v>
      </c>
      <c r="D13" s="17">
        <v>33354</v>
      </c>
      <c r="E13" s="17">
        <f>D13-C13</f>
        <v>31297</v>
      </c>
      <c r="F13" s="17">
        <v>9477</v>
      </c>
      <c r="G13" s="17">
        <v>15499</v>
      </c>
      <c r="H13" s="17">
        <v>17855</v>
      </c>
      <c r="I13" s="17">
        <f>G13+H13-C13-E13</f>
        <v>0</v>
      </c>
      <c r="J13" s="17">
        <f>C13-G13</f>
        <v>-13442</v>
      </c>
      <c r="K13" s="17"/>
    </row>
    <row r="14" ht="20.05" customHeight="1">
      <c r="B14" s="31"/>
      <c r="C14" s="16">
        <v>1942</v>
      </c>
      <c r="D14" s="17">
        <v>32982</v>
      </c>
      <c r="E14" s="17">
        <f>D14-C14</f>
        <v>31040</v>
      </c>
      <c r="F14" s="17">
        <v>9799</v>
      </c>
      <c r="G14" s="17">
        <v>15062</v>
      </c>
      <c r="H14" s="17">
        <v>17920</v>
      </c>
      <c r="I14" s="17">
        <f>G14+H14-C14-E14</f>
        <v>0</v>
      </c>
      <c r="J14" s="17">
        <f>C14-G14</f>
        <v>-13120</v>
      </c>
      <c r="K14" s="17"/>
    </row>
    <row r="15" ht="20.05" customHeight="1">
      <c r="B15" s="31"/>
      <c r="C15" s="16">
        <v>2261</v>
      </c>
      <c r="D15" s="17">
        <v>33859</v>
      </c>
      <c r="E15" s="17">
        <f>D15-C15</f>
        <v>31598</v>
      </c>
      <c r="F15" s="17">
        <v>10114</v>
      </c>
      <c r="G15" s="17">
        <v>15332</v>
      </c>
      <c r="H15" s="17">
        <v>18527</v>
      </c>
      <c r="I15" s="17">
        <f>G15+H15-C15-E15</f>
        <v>0</v>
      </c>
      <c r="J15" s="17">
        <f>C15-G15</f>
        <v>-13071</v>
      </c>
      <c r="K15" s="17"/>
    </row>
    <row r="16" ht="20.05" customHeight="1">
      <c r="B16" s="33">
        <v>2018</v>
      </c>
      <c r="C16" s="16">
        <v>2321</v>
      </c>
      <c r="D16" s="17">
        <v>34505</v>
      </c>
      <c r="E16" s="17">
        <f>D16-C16</f>
        <v>32184</v>
      </c>
      <c r="F16" s="17">
        <v>10434</v>
      </c>
      <c r="G16" s="17">
        <v>15889</v>
      </c>
      <c r="H16" s="17">
        <v>18616</v>
      </c>
      <c r="I16" s="17">
        <f>G16+H16-C16-E16</f>
        <v>0</v>
      </c>
      <c r="J16" s="17">
        <f>C16-G16</f>
        <v>-13568</v>
      </c>
      <c r="K16" s="17"/>
    </row>
    <row r="17" ht="20.05" customHeight="1">
      <c r="B17" s="31"/>
      <c r="C17" s="16">
        <v>2413</v>
      </c>
      <c r="D17" s="17">
        <v>35473</v>
      </c>
      <c r="E17" s="17">
        <f>D17-C17</f>
        <v>33060</v>
      </c>
      <c r="F17" s="17">
        <v>10753</v>
      </c>
      <c r="G17" s="17">
        <v>17154</v>
      </c>
      <c r="H17" s="17">
        <v>18319</v>
      </c>
      <c r="I17" s="17">
        <f>G17+H17-C17-E17</f>
        <v>0</v>
      </c>
      <c r="J17" s="17">
        <f>C17-G17</f>
        <v>-14741</v>
      </c>
      <c r="K17" s="17"/>
    </row>
    <row r="18" ht="20.05" customHeight="1">
      <c r="B18" s="31"/>
      <c r="C18" s="16">
        <v>2234</v>
      </c>
      <c r="D18" s="17">
        <v>35514</v>
      </c>
      <c r="E18" s="17">
        <f>D18-C18</f>
        <v>33280</v>
      </c>
      <c r="F18" s="17">
        <v>11073</v>
      </c>
      <c r="G18" s="17">
        <v>17171</v>
      </c>
      <c r="H18" s="17">
        <v>18343</v>
      </c>
      <c r="I18" s="17">
        <f>G18+H18-C18-E18</f>
        <v>0</v>
      </c>
      <c r="J18" s="17">
        <f>C18-G18</f>
        <v>-14937</v>
      </c>
      <c r="K18" s="17"/>
    </row>
    <row r="19" ht="20.05" customHeight="1">
      <c r="B19" s="31"/>
      <c r="C19" s="16">
        <v>2071</v>
      </c>
      <c r="D19" s="17">
        <v>34666</v>
      </c>
      <c r="E19" s="17">
        <f>D19-C19</f>
        <v>32595</v>
      </c>
      <c r="F19" s="17">
        <v>11374</v>
      </c>
      <c r="G19" s="17">
        <v>16379</v>
      </c>
      <c r="H19" s="17">
        <v>18287</v>
      </c>
      <c r="I19" s="17">
        <f>G19+H19-C19-E19</f>
        <v>0</v>
      </c>
      <c r="J19" s="17">
        <f>C19-G19</f>
        <v>-14308</v>
      </c>
      <c r="K19" s="17"/>
    </row>
    <row r="20" ht="20.05" customHeight="1">
      <c r="B20" s="33">
        <v>2019</v>
      </c>
      <c r="C20" s="16">
        <v>2118</v>
      </c>
      <c r="D20" s="17">
        <v>35497</v>
      </c>
      <c r="E20" s="17">
        <f>D20-C20</f>
        <v>33379</v>
      </c>
      <c r="F20" s="17">
        <v>11699</v>
      </c>
      <c r="G20" s="17">
        <v>17287</v>
      </c>
      <c r="H20" s="17">
        <v>18210</v>
      </c>
      <c r="I20" s="17">
        <f>G20+H20-C20-E20</f>
        <v>0</v>
      </c>
      <c r="J20" s="17">
        <f>C20-G20</f>
        <v>-15169</v>
      </c>
      <c r="K20" s="17"/>
    </row>
    <row r="21" ht="20.05" customHeight="1">
      <c r="B21" s="31"/>
      <c r="C21" s="16">
        <v>1844</v>
      </c>
      <c r="D21" s="17">
        <v>35228</v>
      </c>
      <c r="E21" s="17">
        <f>D21-C21</f>
        <v>33384</v>
      </c>
      <c r="F21" s="17">
        <v>12021</v>
      </c>
      <c r="G21" s="17">
        <v>17432</v>
      </c>
      <c r="H21" s="17">
        <v>17796</v>
      </c>
      <c r="I21" s="17">
        <f>G21+H21-C21-E21</f>
        <v>0</v>
      </c>
      <c r="J21" s="17">
        <f>C21-G21</f>
        <v>-15588</v>
      </c>
      <c r="K21" s="20"/>
    </row>
    <row r="22" ht="20.05" customHeight="1">
      <c r="B22" s="31"/>
      <c r="C22" s="16">
        <v>1850</v>
      </c>
      <c r="D22" s="17">
        <v>35046</v>
      </c>
      <c r="E22" s="17">
        <f>D22-C22</f>
        <v>33196</v>
      </c>
      <c r="F22" s="17">
        <v>12349</v>
      </c>
      <c r="G22" s="17">
        <v>17412</v>
      </c>
      <c r="H22" s="17">
        <v>17634</v>
      </c>
      <c r="I22" s="17">
        <f>G22+H22-C22-E22</f>
        <v>0</v>
      </c>
      <c r="J22" s="17">
        <f>C22-G22</f>
        <v>-15562</v>
      </c>
      <c r="K22" s="20"/>
    </row>
    <row r="23" ht="20.05" customHeight="1">
      <c r="B23" s="31"/>
      <c r="C23" s="16">
        <v>1717</v>
      </c>
      <c r="D23" s="17">
        <v>34911</v>
      </c>
      <c r="E23" s="17">
        <f>D23-C23</f>
        <v>33194</v>
      </c>
      <c r="F23" s="17">
        <v>12678</v>
      </c>
      <c r="G23" s="17">
        <v>17130</v>
      </c>
      <c r="H23" s="17">
        <v>17781</v>
      </c>
      <c r="I23" s="17">
        <f>G23+H23-C23-E23</f>
        <v>0</v>
      </c>
      <c r="J23" s="17">
        <f>C23-G23</f>
        <v>-15413</v>
      </c>
      <c r="K23" s="20"/>
    </row>
    <row r="24" ht="20.05" customHeight="1">
      <c r="B24" s="33">
        <v>2020</v>
      </c>
      <c r="C24" s="16">
        <v>2091.9</v>
      </c>
      <c r="D24" s="17">
        <v>35315.7</v>
      </c>
      <c r="E24" s="17">
        <f>D24-C24</f>
        <v>33223.8</v>
      </c>
      <c r="F24" s="17">
        <v>12999.9</v>
      </c>
      <c r="G24" s="39">
        <v>17610.6</v>
      </c>
      <c r="H24" s="17">
        <v>17705.2</v>
      </c>
      <c r="I24" s="17">
        <f>G24+H24-C24-E24</f>
        <v>0.1</v>
      </c>
      <c r="J24" s="17">
        <f>C24-G24</f>
        <v>-15518.7</v>
      </c>
      <c r="K24" s="20"/>
    </row>
    <row r="25" ht="20.05" customHeight="1">
      <c r="B25" s="31"/>
      <c r="C25" s="16">
        <v>2652</v>
      </c>
      <c r="D25" s="17">
        <v>34922</v>
      </c>
      <c r="E25" s="17">
        <f>D25-C25</f>
        <v>32270</v>
      </c>
      <c r="F25" s="17">
        <v>13321</v>
      </c>
      <c r="G25" s="17">
        <v>17531</v>
      </c>
      <c r="H25" s="17">
        <v>17392</v>
      </c>
      <c r="I25" s="17">
        <f>G25+H25-C25-E25</f>
        <v>1</v>
      </c>
      <c r="J25" s="17">
        <f>C25-G25</f>
        <v>-14879</v>
      </c>
      <c r="K25" s="20"/>
    </row>
    <row r="26" ht="20.05" customHeight="1">
      <c r="B26" s="31"/>
      <c r="C26" s="16">
        <v>2518</v>
      </c>
      <c r="D26" s="17">
        <v>35522</v>
      </c>
      <c r="E26" s="17">
        <f>D26-C26</f>
        <v>33004</v>
      </c>
      <c r="F26" s="17">
        <f>F25+'Sales'!E25</f>
        <v>13694</v>
      </c>
      <c r="G26" s="17">
        <v>18031</v>
      </c>
      <c r="H26" s="17">
        <v>17491</v>
      </c>
      <c r="I26" s="17">
        <f>G26+H26-C26-E26</f>
        <v>0</v>
      </c>
      <c r="J26" s="17">
        <f>C26-G26</f>
        <v>-15513</v>
      </c>
      <c r="K26" s="20"/>
    </row>
    <row r="27" ht="20.05" customHeight="1">
      <c r="B27" s="31"/>
      <c r="C27" s="16">
        <v>2427</v>
      </c>
      <c r="D27" s="17">
        <v>35395</v>
      </c>
      <c r="E27" s="17">
        <f>D27-C27</f>
        <v>32968</v>
      </c>
      <c r="F27" s="17">
        <v>13948</v>
      </c>
      <c r="G27" s="17">
        <v>16905</v>
      </c>
      <c r="H27" s="17">
        <v>18490</v>
      </c>
      <c r="I27" s="17">
        <f>G27+H27-C27-E27</f>
        <v>0</v>
      </c>
      <c r="J27" s="17">
        <f>C27-G27</f>
        <v>-14478</v>
      </c>
      <c r="K27" s="17"/>
    </row>
    <row r="28" ht="20.05" customHeight="1">
      <c r="B28" s="33">
        <v>2021</v>
      </c>
      <c r="C28" s="16">
        <v>3055</v>
      </c>
      <c r="D28" s="17">
        <v>36156</v>
      </c>
      <c r="E28" s="17">
        <f>D28-C28</f>
        <v>33101</v>
      </c>
      <c r="F28" s="17">
        <f>14265</f>
        <v>14265</v>
      </c>
      <c r="G28" s="17">
        <v>17477</v>
      </c>
      <c r="H28" s="17">
        <v>18679</v>
      </c>
      <c r="I28" s="17">
        <f>G28+H28-C28-E28</f>
        <v>0</v>
      </c>
      <c r="J28" s="17">
        <f>C28-G28</f>
        <v>-14422</v>
      </c>
      <c r="K28" s="17"/>
    </row>
    <row r="29" ht="20.05" customHeight="1">
      <c r="B29" s="31"/>
      <c r="C29" s="16">
        <v>3023</v>
      </c>
      <c r="D29" s="17">
        <v>35998</v>
      </c>
      <c r="E29" s="17">
        <f>D29-C29</f>
        <v>32975</v>
      </c>
      <c r="F29" s="17">
        <f>14583</f>
        <v>14583</v>
      </c>
      <c r="G29" s="17">
        <v>17146</v>
      </c>
      <c r="H29" s="17">
        <v>18852</v>
      </c>
      <c r="I29" s="17">
        <f>G29+H29-C29-E29</f>
        <v>0</v>
      </c>
      <c r="J29" s="17">
        <f>C29-G29</f>
        <v>-14123</v>
      </c>
      <c r="K29" s="17"/>
    </row>
    <row r="30" ht="20.05" customHeight="1">
      <c r="B30" s="31"/>
      <c r="C30" s="16">
        <v>3532</v>
      </c>
      <c r="D30" s="17">
        <v>36582</v>
      </c>
      <c r="E30" s="17">
        <f>D30-C30</f>
        <v>33050</v>
      </c>
      <c r="F30" s="17">
        <v>14869</v>
      </c>
      <c r="G30" s="17">
        <v>17381</v>
      </c>
      <c r="H30" s="17">
        <v>19201</v>
      </c>
      <c r="I30" s="17">
        <f>G30+H30-C30-E30</f>
        <v>0</v>
      </c>
      <c r="J30" s="17">
        <f>C30-G30</f>
        <v>-13849</v>
      </c>
      <c r="K30" s="17">
        <f>J30</f>
        <v>-13849</v>
      </c>
    </row>
    <row r="31" ht="20.05" customHeight="1">
      <c r="B31" s="31"/>
      <c r="C31" s="16"/>
      <c r="D31" s="17"/>
      <c r="E31" s="17"/>
      <c r="F31" s="17"/>
      <c r="G31" s="17"/>
      <c r="H31" s="17"/>
      <c r="I31" s="17"/>
      <c r="J31" s="17"/>
      <c r="K31" s="17">
        <f>'Model '!F30</f>
        <v>-11884.0502665167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40" customWidth="1"/>
    <col min="2" max="2" width="7.625" style="40" customWidth="1"/>
    <col min="3" max="4" width="8.98438" style="40" customWidth="1"/>
    <col min="5" max="16384" width="16.3516" style="40" customWidth="1"/>
  </cols>
  <sheetData>
    <row r="1" ht="40" customHeight="1"/>
    <row r="2" ht="27.65" customHeight="1">
      <c r="B2" t="s" s="2">
        <v>56</v>
      </c>
      <c r="C2" s="2"/>
      <c r="D2" s="2"/>
    </row>
    <row r="3" ht="20.25" customHeight="1">
      <c r="B3" s="4"/>
      <c r="C3" t="s" s="3">
        <v>57</v>
      </c>
      <c r="D3" t="s" s="3">
        <v>38</v>
      </c>
    </row>
    <row r="4" ht="20.25" customHeight="1">
      <c r="B4" s="25">
        <v>2018</v>
      </c>
      <c r="C4" s="41">
        <v>595</v>
      </c>
      <c r="D4" s="42"/>
    </row>
    <row r="5" ht="20.05" customHeight="1">
      <c r="B5" s="31"/>
      <c r="C5" s="43">
        <v>492</v>
      </c>
      <c r="D5" s="34"/>
    </row>
    <row r="6" ht="20.05" customHeight="1">
      <c r="B6" s="31"/>
      <c r="C6" s="43">
        <v>490</v>
      </c>
      <c r="D6" s="34"/>
    </row>
    <row r="7" ht="20.05" customHeight="1">
      <c r="B7" s="31"/>
      <c r="C7" s="43">
        <v>460</v>
      </c>
      <c r="D7" s="34"/>
    </row>
    <row r="8" ht="20.05" customHeight="1">
      <c r="B8" s="33">
        <v>2019</v>
      </c>
      <c r="C8" s="43">
        <v>440</v>
      </c>
      <c r="D8" s="34"/>
    </row>
    <row r="9" ht="20.05" customHeight="1">
      <c r="B9" s="31"/>
      <c r="C9" s="43">
        <v>350</v>
      </c>
      <c r="D9" s="34"/>
    </row>
    <row r="10" ht="20.05" customHeight="1">
      <c r="B10" s="31"/>
      <c r="C10" s="43">
        <v>330</v>
      </c>
      <c r="D10" s="34"/>
    </row>
    <row r="11" ht="20.05" customHeight="1">
      <c r="B11" s="31"/>
      <c r="C11" s="43">
        <v>432</v>
      </c>
      <c r="D11" s="34"/>
    </row>
    <row r="12" ht="20.05" customHeight="1">
      <c r="B12" s="33">
        <v>2020</v>
      </c>
      <c r="C12" s="43">
        <v>210</v>
      </c>
      <c r="D12" s="21"/>
    </row>
    <row r="13" ht="20.05" customHeight="1">
      <c r="B13" s="31"/>
      <c r="C13" s="43">
        <v>254</v>
      </c>
      <c r="D13" s="21"/>
    </row>
    <row r="14" ht="20.05" customHeight="1">
      <c r="B14" s="31"/>
      <c r="C14" s="16">
        <v>296</v>
      </c>
      <c r="D14" s="21"/>
    </row>
    <row r="15" ht="20.05" customHeight="1">
      <c r="B15" s="31"/>
      <c r="C15" s="16">
        <v>420</v>
      </c>
      <c r="D15" s="21"/>
    </row>
    <row r="16" ht="20.05" customHeight="1">
      <c r="B16" s="33">
        <v>2021</v>
      </c>
      <c r="C16" s="16">
        <v>490</v>
      </c>
      <c r="D16" s="21"/>
    </row>
    <row r="17" ht="20.05" customHeight="1">
      <c r="B17" s="31"/>
      <c r="C17" s="16">
        <v>436</v>
      </c>
      <c r="D17" s="21"/>
    </row>
    <row r="18" ht="20.05" customHeight="1">
      <c r="B18" s="31"/>
      <c r="C18" s="16">
        <v>458</v>
      </c>
      <c r="D18" s="21"/>
    </row>
    <row r="19" ht="20.05" customHeight="1">
      <c r="B19" s="31"/>
      <c r="C19" s="16">
        <v>466</v>
      </c>
      <c r="D19" s="20">
        <f>C19</f>
        <v>466</v>
      </c>
    </row>
    <row r="20" ht="20.05" customHeight="1">
      <c r="B20" s="31"/>
      <c r="C20" s="16"/>
      <c r="D20" s="17">
        <f>'Model '!F42</f>
        <v>1196.240664179450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