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<sst xmlns="http://schemas.openxmlformats.org/spreadsheetml/2006/main" uniqueCount="59">
  <si>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</si>
  <si>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</si>
  <si>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</si>
  <si>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>Cashflow</t>
  </si>
  <si>
    <t xml:space="preserve">Growth </t>
  </si>
  <si>
    <t xml:space="preserve">Sales </t>
  </si>
  <si>
    <t>Cost ratio</t>
  </si>
  <si>
    <t xml:space="preserve">Cash costs 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</si>
  <si>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</si>
  <si>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</si>
  <si>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</si>
  <si>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</si>
  <si>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</si>
  <si>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</si>
  <si>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Revolver </t>
  </si>
  <si>
    <t>Before revolver</t>
  </si>
  <si>
    <t>Beginning</t>
  </si>
  <si>
    <t xml:space="preserve">Change </t>
  </si>
  <si>
    <t>Ending</t>
  </si>
  <si>
    <t xml:space="preserve">Profit </t>
  </si>
  <si>
    <t xml:space="preserve">Non cash costs </t>
  </si>
  <si>
    <t xml:space="preserve">Net profit </t>
  </si>
  <si>
    <t>Balance sheet</t>
  </si>
  <si>
    <t xml:space="preserve">Other assets 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</si>
  <si>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</si>
  <si>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</si>
  <si>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</si>
  <si>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</si>
  <si>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</si>
  <si>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</si>
  <si>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</si>
  <si>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</si>
  <si>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</si>
  <si>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</si>
  <si>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</si>
  <si>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</si>
  <si>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</si>
  <si>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</si>
  <si>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</si>
  <si>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</si>
  <si>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</si>
  <si>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</si>
  <si>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</si>
  <si>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</si>
  <si>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Other cash costs</t>
  </si>
  <si>
    <t>Others</t>
  </si>
  <si>
    <t xml:space="preserve">Sales growth </t>
  </si>
  <si>
    <t xml:space="preserve">Cost ratio </t>
  </si>
  <si>
    <t>Cashflow costs</t>
  </si>
  <si>
    <t xml:space="preserve">Receipts </t>
  </si>
  <si>
    <t>Capex</t>
  </si>
  <si>
    <t xml:space="preserve">Investment </t>
  </si>
  <si>
    <t xml:space="preserve">Free cashflow </t>
  </si>
  <si>
    <t xml:space="preserve">Cash </t>
  </si>
  <si>
    <t>Assets</t>
  </si>
  <si>
    <t>Other assets</t>
  </si>
  <si>
    <t>Share price</t>
  </si>
  <si>
    <t>SILO</t>
  </si>
  <si>
    <t>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</si>
</sst>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630185</xdr:colOff>
      <xdr:row>2</xdr:row>
      <xdr:rowOff>21678</xdr:rowOff>
    </xdr:from>
    <xdr:to>
      <xdr:col>13</xdr:col>
      <xdr:colOff>378177</xdr:colOff>
      <xdr:row>47</xdr:row>
      <xdr:rowOff>136648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33885" y="669378"/>
          <a:ext cx="8460193" cy="11578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938" style="1" customWidth="1"/>
    <col min="2" max="2" width="16.0781" style="1" customWidth="1"/>
    <col min="3" max="6" width="8.30469" style="1" customWidth="1"/>
    <col min="7" max="16384" width="16.3516" style="1" customWidth="1"/>
  </cols>
  <sheetData>
    <row r="1" ht="23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AVERAGE('Sales'!I27:I30)</f>
        <v>0.101630441912406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0.01</v>
      </c>
      <c r="D5" s="12">
        <v>0.05</v>
      </c>
      <c r="E5" s="12">
        <v>-0.01</v>
      </c>
      <c r="F5" s="12">
        <v>0.07000000000000001</v>
      </c>
    </row>
    <row r="6" ht="20.05" customHeight="1">
      <c r="B6" t="s" s="10">
        <v>5</v>
      </c>
      <c r="C6" s="13">
        <f>'Sales'!C30*(1+C5)</f>
        <v>2529.848</v>
      </c>
      <c r="D6" s="14">
        <f>C6*(1+D5)</f>
        <v>2656.3404</v>
      </c>
      <c r="E6" s="14">
        <f>D6*(1+E5)</f>
        <v>2629.776996</v>
      </c>
      <c r="F6" s="14">
        <f>E6*(1+F5)</f>
        <v>2813.86138572</v>
      </c>
    </row>
    <row r="7" ht="20.05" customHeight="1">
      <c r="B7" t="s" s="10">
        <v>6</v>
      </c>
      <c r="C7" s="15">
        <f>AVERAGE('Sales'!J30)</f>
        <v>-0.8096454806771</v>
      </c>
      <c r="D7" s="16">
        <f>C7</f>
        <v>-0.8096454806771</v>
      </c>
      <c r="E7" s="16">
        <f>D7</f>
        <v>-0.8096454806771</v>
      </c>
      <c r="F7" s="16">
        <f>E7</f>
        <v>-0.8096454806771</v>
      </c>
    </row>
    <row r="8" ht="20.05" customHeight="1">
      <c r="B8" t="s" s="10">
        <v>7</v>
      </c>
      <c r="C8" s="17">
        <f>C6*C7</f>
        <v>-2048.28</v>
      </c>
      <c r="D8" s="18">
        <f>D6*D7</f>
        <v>-2150.694</v>
      </c>
      <c r="E8" s="18">
        <f>E6*E7</f>
        <v>-2129.18706</v>
      </c>
      <c r="F8" s="18">
        <f>F6*F7</f>
        <v>-2278.2301542</v>
      </c>
    </row>
    <row r="9" ht="20.05" customHeight="1">
      <c r="B9" t="s" s="10">
        <v>8</v>
      </c>
      <c r="C9" s="17">
        <f>C6+C8</f>
        <v>481.568</v>
      </c>
      <c r="D9" s="18">
        <f>D6+D8</f>
        <v>505.6464</v>
      </c>
      <c r="E9" s="18">
        <f>E6+E8</f>
        <v>500.589936</v>
      </c>
      <c r="F9" s="18">
        <f>F6+F8</f>
        <v>535.63123152</v>
      </c>
    </row>
    <row r="10" ht="20.05" customHeight="1">
      <c r="B10" t="s" s="10">
        <v>9</v>
      </c>
      <c r="C10" s="17">
        <f>AVERAGE('Cashflow '!D30)</f>
        <v>-131.1</v>
      </c>
      <c r="D10" s="18">
        <f>C10</f>
        <v>-131.1</v>
      </c>
      <c r="E10" s="18">
        <f>D10</f>
        <v>-131.1</v>
      </c>
      <c r="F10" s="18">
        <f>E10</f>
        <v>-131.1</v>
      </c>
    </row>
    <row r="11" ht="20.05" customHeight="1">
      <c r="B11" t="s" s="10">
        <v>10</v>
      </c>
      <c r="C11" s="17">
        <f>SUM('Cashflow '!E27:E30)</f>
        <v>-55.6</v>
      </c>
      <c r="D11" s="18">
        <f>C11</f>
        <v>-55.6</v>
      </c>
      <c r="E11" s="18">
        <f>D11</f>
        <v>-55.6</v>
      </c>
      <c r="F11" s="18">
        <f>E11</f>
        <v>-55.6</v>
      </c>
    </row>
    <row r="12" ht="20.05" customHeight="1">
      <c r="B12" t="s" s="10">
        <v>11</v>
      </c>
      <c r="C12" s="17">
        <f>C13+C14+C15</f>
        <v>-245.634</v>
      </c>
      <c r="D12" s="18">
        <f>D13+D14+D15</f>
        <v>-251.2907</v>
      </c>
      <c r="E12" s="18">
        <f>E13+E14+E15</f>
        <v>-242.699093</v>
      </c>
      <c r="F12" s="18">
        <f>F13+F14+F15</f>
        <v>-254.45953451</v>
      </c>
    </row>
    <row r="13" ht="20.05" customHeight="1">
      <c r="B13" t="s" s="10">
        <v>12</v>
      </c>
      <c r="C13" s="17">
        <f>-('Balance Sheet '!G30)/20</f>
        <v>-127.65</v>
      </c>
      <c r="D13" s="18">
        <f>-C27/20</f>
        <v>-121.2675</v>
      </c>
      <c r="E13" s="18">
        <f>-D27/20</f>
        <v>-115.204125</v>
      </c>
      <c r="F13" s="18">
        <f>-E27/20</f>
        <v>-109.44391875</v>
      </c>
    </row>
    <row r="14" ht="20.05" customHeight="1">
      <c r="B14" t="s" s="10">
        <v>13</v>
      </c>
      <c r="C14" s="17">
        <f>IF(C22&gt;0,-C22*0.5,0)</f>
        <v>-117.984</v>
      </c>
      <c r="D14" s="18">
        <f>IF(D22&gt;0,-D22*0.5,0)</f>
        <v>-130.0232</v>
      </c>
      <c r="E14" s="18">
        <f>IF(E22&gt;0,-E22*0.5,0)</f>
        <v>-127.494968</v>
      </c>
      <c r="F14" s="18">
        <f>IF(F22&gt;0,-F22*0.5,0)</f>
        <v>-145.01561576</v>
      </c>
    </row>
    <row r="15" ht="20.05" customHeight="1">
      <c r="B15" t="s" s="10">
        <v>14</v>
      </c>
      <c r="C15" s="17">
        <f>-MIN(0,C16)</f>
        <v>0</v>
      </c>
      <c r="D15" s="18">
        <f>-MIN(C28,D16)</f>
        <v>0</v>
      </c>
      <c r="E15" s="18">
        <f>-MIN(D28,E16)</f>
        <v>0</v>
      </c>
      <c r="F15" s="18">
        <f>-MIN(E28,F16)</f>
        <v>0</v>
      </c>
    </row>
    <row r="16" ht="20.05" customHeight="1">
      <c r="B16" t="s" s="10">
        <v>15</v>
      </c>
      <c r="C16" s="17">
        <f>C9+C10+C13+C14</f>
        <v>104.834</v>
      </c>
      <c r="D16" s="18">
        <f>D9+D10+D13+D14</f>
        <v>123.2557</v>
      </c>
      <c r="E16" s="18">
        <f>E9+E10+E13+E14</f>
        <v>126.790843</v>
      </c>
      <c r="F16" s="18">
        <f>F9+F10+F13+F14</f>
        <v>150.07169701</v>
      </c>
    </row>
    <row r="17" ht="20.05" customHeight="1">
      <c r="B17" t="s" s="10">
        <v>16</v>
      </c>
      <c r="C17" s="17">
        <f>'Balance Sheet '!C30</f>
        <v>973</v>
      </c>
      <c r="D17" s="18">
        <f>C19</f>
        <v>1077.834</v>
      </c>
      <c r="E17" s="18">
        <f>D19</f>
        <v>1201.0897</v>
      </c>
      <c r="F17" s="18">
        <f>E19</f>
        <v>1327.880543</v>
      </c>
    </row>
    <row r="18" ht="20.05" customHeight="1">
      <c r="B18" t="s" s="10">
        <v>17</v>
      </c>
      <c r="C18" s="17">
        <f>C9+C10+C12</f>
        <v>104.834</v>
      </c>
      <c r="D18" s="18">
        <f>D9+D10+D12</f>
        <v>123.2557</v>
      </c>
      <c r="E18" s="18">
        <f>E9+E10+E12</f>
        <v>126.790843</v>
      </c>
      <c r="F18" s="18">
        <f>F9+F10+F12</f>
        <v>150.07169701</v>
      </c>
    </row>
    <row r="19" ht="20.05" customHeight="1">
      <c r="B19" t="s" s="10">
        <v>18</v>
      </c>
      <c r="C19" s="17">
        <f>C17+C18</f>
        <v>1077.834</v>
      </c>
      <c r="D19" s="18">
        <f>D17+D18</f>
        <v>1201.0897</v>
      </c>
      <c r="E19" s="18">
        <f>E17+E18</f>
        <v>1327.880543</v>
      </c>
      <c r="F19" s="18">
        <f>F17+F18</f>
        <v>1477.95224001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-SUM('Sales'!E30:G30)</f>
        <v>-245.6</v>
      </c>
      <c r="D21" s="18">
        <f>C21</f>
        <v>-245.6</v>
      </c>
      <c r="E21" s="18">
        <f>D21</f>
        <v>-245.6</v>
      </c>
      <c r="F21" s="18">
        <f>E21</f>
        <v>-245.6</v>
      </c>
    </row>
    <row r="22" ht="20.05" customHeight="1">
      <c r="B22" t="s" s="10">
        <v>21</v>
      </c>
      <c r="C22" s="17">
        <f>C6+C8+C21</f>
        <v>235.968</v>
      </c>
      <c r="D22" s="18">
        <f>D6+D8+D21</f>
        <v>260.0464</v>
      </c>
      <c r="E22" s="18">
        <f>E6+E8+E21</f>
        <v>254.989936</v>
      </c>
      <c r="F22" s="18">
        <f>F6+F8+F21</f>
        <v>290.03123152</v>
      </c>
    </row>
    <row r="23" ht="20.05" customHeight="1">
      <c r="B23" t="s" s="19">
        <v>22</v>
      </c>
      <c r="C23" s="20"/>
      <c r="D23" s="21"/>
      <c r="E23" s="21"/>
      <c r="F23" s="18"/>
    </row>
    <row r="24" ht="20.05" customHeight="1">
      <c r="B24" t="s" s="10">
        <v>23</v>
      </c>
      <c r="C24" s="17">
        <f>'Balance Sheet '!E30+'Balance Sheet '!F30-C10</f>
        <v>12824.1</v>
      </c>
      <c r="D24" s="18">
        <f>C24-D10</f>
        <v>12955.2</v>
      </c>
      <c r="E24" s="18">
        <f>D24-E10</f>
        <v>13086.3</v>
      </c>
      <c r="F24" s="18">
        <f>E24-F10</f>
        <v>13217.4</v>
      </c>
    </row>
    <row r="25" ht="20.05" customHeight="1">
      <c r="B25" t="s" s="10">
        <v>24</v>
      </c>
      <c r="C25" s="17">
        <f>'Balance Sheet '!F30-C21</f>
        <v>4984.6</v>
      </c>
      <c r="D25" s="18">
        <f>C25-D21</f>
        <v>5230.2</v>
      </c>
      <c r="E25" s="18">
        <f>D25-E21</f>
        <v>5475.8</v>
      </c>
      <c r="F25" s="18">
        <f>E25-F21</f>
        <v>5721.4</v>
      </c>
    </row>
    <row r="26" ht="20.05" customHeight="1">
      <c r="B26" t="s" s="10">
        <v>25</v>
      </c>
      <c r="C26" s="17">
        <f>C24-C25</f>
        <v>7839.5</v>
      </c>
      <c r="D26" s="18">
        <f>D24-D25</f>
        <v>7725</v>
      </c>
      <c r="E26" s="18">
        <f>E24-E25</f>
        <v>7610.5</v>
      </c>
      <c r="F26" s="18">
        <f>F24-F25</f>
        <v>7496</v>
      </c>
    </row>
    <row r="27" ht="20.05" customHeight="1">
      <c r="B27" t="s" s="10">
        <v>12</v>
      </c>
      <c r="C27" s="17">
        <f>'Balance Sheet '!G30+C13</f>
        <v>2425.35</v>
      </c>
      <c r="D27" s="18">
        <f>C27+D13</f>
        <v>2304.0825</v>
      </c>
      <c r="E27" s="18">
        <f>D27+E13</f>
        <v>2188.878375</v>
      </c>
      <c r="F27" s="18">
        <f>E27+F13</f>
        <v>2079.43445625</v>
      </c>
    </row>
    <row r="28" ht="20.05" customHeight="1">
      <c r="B28" t="s" s="10">
        <v>14</v>
      </c>
      <c r="C28" s="17">
        <f>C15</f>
        <v>0</v>
      </c>
      <c r="D28" s="18">
        <f>C28+D15</f>
        <v>0</v>
      </c>
      <c r="E28" s="18">
        <f>D28+E15</f>
        <v>0</v>
      </c>
      <c r="F28" s="18">
        <f>E28+F15</f>
        <v>0</v>
      </c>
    </row>
    <row r="29" ht="20.05" customHeight="1">
      <c r="B29" t="s" s="10">
        <v>13</v>
      </c>
      <c r="C29" s="17">
        <f>'Balance Sheet '!H30+C22+C14</f>
        <v>6491.984</v>
      </c>
      <c r="D29" s="18">
        <f>C29+D22+D14</f>
        <v>6622.0072</v>
      </c>
      <c r="E29" s="18">
        <f>D29+E22+E14</f>
        <v>6749.502168</v>
      </c>
      <c r="F29" s="18">
        <f>E29+F22+F14</f>
        <v>6894.51778376</v>
      </c>
    </row>
    <row r="30" ht="20.05" customHeight="1">
      <c r="B30" t="s" s="10">
        <v>26</v>
      </c>
      <c r="C30" s="23">
        <f>C27+C28+C29-C19-C26</f>
        <v>0</v>
      </c>
      <c r="D30" s="24">
        <f>D27+D28+D29-D19-D26</f>
        <v>0</v>
      </c>
      <c r="E30" s="24">
        <f>E27+E28+E29-E19-E26</f>
        <v>0</v>
      </c>
      <c r="F30" s="24">
        <f>F27+F28+F29-F19-F26</f>
        <v>0</v>
      </c>
    </row>
    <row r="31" ht="20.05" customHeight="1">
      <c r="B31" t="s" s="10">
        <v>27</v>
      </c>
      <c r="C31" s="23">
        <f>C19-C27-C28</f>
        <v>-1347.516</v>
      </c>
      <c r="D31" s="24">
        <f>D19-D27-D28</f>
        <v>-1102.9928</v>
      </c>
      <c r="E31" s="24">
        <f>E19-E27-E28</f>
        <v>-860.997832</v>
      </c>
      <c r="F31" s="24">
        <f>F19-F27-F28</f>
        <v>-601.48221624</v>
      </c>
    </row>
    <row r="32" ht="20.05" customHeight="1">
      <c r="B32" t="s" s="19">
        <v>28</v>
      </c>
      <c r="C32" s="20"/>
      <c r="D32" s="21"/>
      <c r="E32" s="21"/>
      <c r="F32" s="21"/>
    </row>
    <row r="33" ht="20.05" customHeight="1">
      <c r="B33" t="s" s="10">
        <v>29</v>
      </c>
      <c r="C33" s="17">
        <f>'Cashflow '!K30-(C12-C11)</f>
        <v>-1356.666</v>
      </c>
      <c r="D33" s="18">
        <f>C33-(D12-D11)</f>
        <v>-1160.9753</v>
      </c>
      <c r="E33" s="18">
        <f>D33-(E12-E11)</f>
        <v>-973.876207</v>
      </c>
      <c r="F33" s="18">
        <f>E33-(F12-F11)</f>
        <v>-775.01667249</v>
      </c>
    </row>
    <row r="34" ht="20.05" customHeight="1">
      <c r="B34" t="s" s="10">
        <v>30</v>
      </c>
      <c r="C34" s="20"/>
      <c r="D34" s="21"/>
      <c r="E34" s="21"/>
      <c r="F34" s="18">
        <v>13900</v>
      </c>
    </row>
    <row r="35" ht="20.05" customHeight="1">
      <c r="B35" t="s" s="10">
        <v>31</v>
      </c>
      <c r="C35" s="20"/>
      <c r="D35" s="21"/>
      <c r="E35" s="21"/>
      <c r="F35" s="25">
        <f>F34/(F22+F26)</f>
        <v>1.78524842588981</v>
      </c>
    </row>
    <row r="36" ht="20.05" customHeight="1">
      <c r="B36" t="s" s="10">
        <v>32</v>
      </c>
      <c r="C36" s="20"/>
      <c r="D36" s="21"/>
      <c r="E36" s="21"/>
      <c r="F36" s="12">
        <f>-(C14+D14+E14+F14)/F34</f>
        <v>0.0374473225726619</v>
      </c>
    </row>
    <row r="37" ht="20.05" customHeight="1">
      <c r="B37" t="s" s="10">
        <v>33</v>
      </c>
      <c r="C37" s="20"/>
      <c r="D37" s="21"/>
      <c r="E37" s="21"/>
      <c r="F37" s="18">
        <f>SUM(C9:F11)</f>
        <v>1276.63556752</v>
      </c>
    </row>
    <row r="38" ht="20.05" customHeight="1">
      <c r="B38" t="s" s="10">
        <v>34</v>
      </c>
      <c r="C38" s="20"/>
      <c r="D38" s="21"/>
      <c r="E38" s="21"/>
      <c r="F38" s="24">
        <f>'Balance Sheet '!E30/F37</f>
        <v>6.23043897754744</v>
      </c>
    </row>
    <row r="39" ht="20.05" customHeight="1">
      <c r="B39" t="s" s="10">
        <v>28</v>
      </c>
      <c r="C39" s="20"/>
      <c r="D39" s="21"/>
      <c r="E39" s="21"/>
      <c r="F39" s="24">
        <f>F34/F37</f>
        <v>10.887993687190</v>
      </c>
    </row>
    <row r="40" ht="20.05" customHeight="1">
      <c r="B40" t="s" s="26">
        <v>35</v>
      </c>
      <c r="C40" s="20"/>
      <c r="D40" s="21"/>
      <c r="E40" s="21"/>
      <c r="F40" s="21">
        <v>17</v>
      </c>
    </row>
    <row r="41" ht="20.05" customHeight="1">
      <c r="B41" t="s" s="10">
        <v>36</v>
      </c>
      <c r="C41" s="20"/>
      <c r="D41" s="21"/>
      <c r="E41" s="21"/>
      <c r="F41" s="18">
        <f>F37*F40</f>
        <v>21702.80464784</v>
      </c>
    </row>
    <row r="42" ht="20.05" customHeight="1">
      <c r="B42" t="s" s="10">
        <v>37</v>
      </c>
      <c r="C42" s="20"/>
      <c r="D42" s="21"/>
      <c r="E42" s="21"/>
      <c r="F42" s="18">
        <f>F34/F44</f>
        <v>1.66966966966967</v>
      </c>
    </row>
    <row r="43" ht="20.05" customHeight="1">
      <c r="B43" t="s" s="10">
        <v>38</v>
      </c>
      <c r="C43" s="20"/>
      <c r="D43" s="21"/>
      <c r="E43" s="21"/>
      <c r="F43" s="18">
        <f>F41/F42</f>
        <v>12998.2624959186</v>
      </c>
    </row>
    <row r="44" ht="20.05" customHeight="1">
      <c r="B44" t="s" s="10">
        <v>39</v>
      </c>
      <c r="C44" s="20"/>
      <c r="D44" s="21"/>
      <c r="E44" s="21"/>
      <c r="F44" s="18">
        <f>'Share price '!C93</f>
        <v>8325</v>
      </c>
    </row>
    <row r="45" ht="20.05" customHeight="1">
      <c r="B45" t="s" s="10">
        <v>40</v>
      </c>
      <c r="C45" s="20"/>
      <c r="D45" s="21"/>
      <c r="E45" s="21"/>
      <c r="F45" s="12">
        <f>F43/F44-1</f>
        <v>0.561352852362595</v>
      </c>
    </row>
    <row r="46" ht="20.05" customHeight="1">
      <c r="B46" t="s" s="10">
        <v>41</v>
      </c>
      <c r="C46" s="20"/>
      <c r="D46" s="21"/>
      <c r="E46" s="21"/>
      <c r="F46" s="12">
        <f>'Sales'!C30/'Sales'!C26-1</f>
        <v>0.372042068361087</v>
      </c>
    </row>
    <row r="47" ht="20.05" customHeight="1">
      <c r="B47" t="s" s="10">
        <v>42</v>
      </c>
      <c r="C47" s="20"/>
      <c r="D47" s="21"/>
      <c r="E47" s="21"/>
      <c r="F47" s="12">
        <f>('Sales'!D22+'Sales'!D23+'Sales'!D24+'Sales'!D25+'Sales'!D26+'Sales'!D27+'Sales'!D28+'Sales'!D29+'Sales'!D30)/('Sales'!C22+'Sales'!C23+'Sales'!C24+'Sales'!C25+'Sales'!C26+'Sales'!C27+'Sales'!C28+'Sales'!C29+'Sales'!C30)-1</f>
        <v>0.0137628321551315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5" style="27" customWidth="1"/>
    <col min="2" max="2" width="6.58594" style="27" customWidth="1"/>
    <col min="3" max="12" width="11.5625" style="27" customWidth="1"/>
    <col min="13" max="16384" width="16.3516" style="27" customWidth="1"/>
  </cols>
  <sheetData>
    <row r="1" ht="14.6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43</v>
      </c>
      <c r="D3" t="s" s="4">
        <v>35</v>
      </c>
      <c r="E3" t="s" s="4">
        <v>24</v>
      </c>
      <c r="F3" t="s" s="4">
        <v>44</v>
      </c>
      <c r="G3" t="s" s="4">
        <v>45</v>
      </c>
      <c r="H3" t="s" s="4">
        <v>21</v>
      </c>
      <c r="I3" t="s" s="4">
        <v>46</v>
      </c>
      <c r="J3" t="s" s="4">
        <v>47</v>
      </c>
      <c r="K3" t="s" s="4">
        <v>48</v>
      </c>
      <c r="L3" t="s" s="4">
        <v>48</v>
      </c>
    </row>
    <row r="4" ht="20.25" customHeight="1">
      <c r="B4" s="28">
        <v>2015</v>
      </c>
      <c r="C4" s="29">
        <v>976.4</v>
      </c>
      <c r="D4" s="30"/>
      <c r="E4" s="30">
        <v>80.7</v>
      </c>
      <c r="F4" s="30"/>
      <c r="G4" s="30"/>
      <c r="H4" s="30">
        <v>33.7</v>
      </c>
      <c r="I4" s="31"/>
      <c r="J4" s="31">
        <f>(E4+H4-C4)/C4</f>
        <v>-0.88283490372798</v>
      </c>
      <c r="K4" s="8"/>
      <c r="L4" s="31">
        <f>('Cashflow '!F4-'Cashflow '!C4)/'Cashflow '!C4</f>
        <v>-0.921612541993281</v>
      </c>
    </row>
    <row r="5" ht="20.05" customHeight="1">
      <c r="B5" s="32"/>
      <c r="C5" s="17">
        <v>1010.6</v>
      </c>
      <c r="D5" s="18"/>
      <c r="E5" s="18">
        <v>83.8</v>
      </c>
      <c r="F5" s="18"/>
      <c r="G5" s="18"/>
      <c r="H5" s="18">
        <v>16.9</v>
      </c>
      <c r="I5" s="16">
        <f>C5/C4-1</f>
        <v>0.0350266284309709</v>
      </c>
      <c r="J5" s="16">
        <f>(E5+H5-C5)/C5</f>
        <v>-0.900356224025331</v>
      </c>
      <c r="K5" s="22"/>
      <c r="L5" s="16">
        <f>('Cashflow '!F5-'Cashflow '!C5)/'Cashflow '!C5</f>
        <v>-0.93627254509018</v>
      </c>
    </row>
    <row r="6" ht="20.05" customHeight="1">
      <c r="B6" s="32"/>
      <c r="C6" s="17">
        <v>1026.1</v>
      </c>
      <c r="D6" s="18"/>
      <c r="E6" s="18">
        <v>85.8</v>
      </c>
      <c r="F6" s="18"/>
      <c r="G6" s="18"/>
      <c r="H6" s="18">
        <v>17</v>
      </c>
      <c r="I6" s="16">
        <f>C6/C5-1</f>
        <v>0.0153374233128834</v>
      </c>
      <c r="J6" s="16">
        <f>(E6+H6-C6)/C6</f>
        <v>-0.899814832862294</v>
      </c>
      <c r="K6" s="22"/>
      <c r="L6" s="16">
        <f>('Cashflow '!F6-'Cashflow '!C6)/'Cashflow '!C6</f>
        <v>-0.920754338449192</v>
      </c>
    </row>
    <row r="7" ht="20.05" customHeight="1">
      <c r="B7" s="32"/>
      <c r="C7" s="17">
        <v>1131</v>
      </c>
      <c r="D7" s="18"/>
      <c r="E7" s="18">
        <v>86.7</v>
      </c>
      <c r="F7" s="18"/>
      <c r="G7" s="18"/>
      <c r="H7" s="18">
        <v>-5.9</v>
      </c>
      <c r="I7" s="16">
        <f>C7/C6-1</f>
        <v>0.102231751291297</v>
      </c>
      <c r="J7" s="16">
        <f>(E7+H7-C7)/C7</f>
        <v>-0.928558797524315</v>
      </c>
      <c r="K7" s="22"/>
      <c r="L7" s="16">
        <f>('Cashflow '!F7-'Cashflow '!C7)/'Cashflow '!C7</f>
        <v>-0.960925260344669</v>
      </c>
    </row>
    <row r="8" ht="20.05" customHeight="1">
      <c r="B8" s="33">
        <v>2016</v>
      </c>
      <c r="C8" s="17">
        <v>1253.8</v>
      </c>
      <c r="D8" s="18"/>
      <c r="E8" s="18">
        <v>87.2</v>
      </c>
      <c r="F8" s="18"/>
      <c r="G8" s="18"/>
      <c r="H8" s="18">
        <v>40.2</v>
      </c>
      <c r="I8" s="16">
        <f>C8/C7-1</f>
        <v>0.108576480990274</v>
      </c>
      <c r="J8" s="16">
        <f>(E8+H8-C8)/C8</f>
        <v>-0.898388897750837</v>
      </c>
      <c r="K8" s="16">
        <f>AVERAGE(L5:L8)</f>
        <v>-0.929579120810032</v>
      </c>
      <c r="L8" s="16">
        <f>('Cashflow '!F8-'Cashflow '!C8)/'Cashflow '!C8</f>
        <v>-0.900364339356086</v>
      </c>
    </row>
    <row r="9" ht="20.05" customHeight="1">
      <c r="B9" s="32"/>
      <c r="C9" s="17">
        <v>1301</v>
      </c>
      <c r="D9" s="18"/>
      <c r="E9" s="18">
        <v>89.59999999999999</v>
      </c>
      <c r="F9" s="18"/>
      <c r="G9" s="18"/>
      <c r="H9" s="18">
        <v>38.3</v>
      </c>
      <c r="I9" s="16">
        <f>C9/C8-1</f>
        <v>0.0376455575051842</v>
      </c>
      <c r="J9" s="16">
        <f>(E9+H9-C9)/C9</f>
        <v>-0.9016910069177561</v>
      </c>
      <c r="K9" s="16">
        <f>AVERAGE(L6:L9)</f>
        <v>-0.925639189665692</v>
      </c>
      <c r="L9" s="16">
        <f>('Cashflow '!F9-'Cashflow '!C9)/'Cashflow '!C9</f>
        <v>-0.920512820512821</v>
      </c>
    </row>
    <row r="10" ht="20.05" customHeight="1">
      <c r="B10" s="32"/>
      <c r="C10" s="17">
        <v>1269.2</v>
      </c>
      <c r="D10" s="18"/>
      <c r="E10" s="18">
        <v>92.09999999999999</v>
      </c>
      <c r="F10" s="18"/>
      <c r="G10" s="18"/>
      <c r="H10" s="18">
        <v>16.3</v>
      </c>
      <c r="I10" s="16">
        <f>C10/C9-1</f>
        <v>-0.0244427363566487</v>
      </c>
      <c r="J10" s="16">
        <f>(E10+H10-C10)/C10</f>
        <v>-0.914591868893791</v>
      </c>
      <c r="K10" s="16">
        <f>AVERAGE(L7:L10)</f>
        <v>-0.9290186801707651</v>
      </c>
      <c r="L10" s="16">
        <f>('Cashflow '!F10-'Cashflow '!C10)/'Cashflow '!C10</f>
        <v>-0.934272300469484</v>
      </c>
    </row>
    <row r="11" ht="20.05" customHeight="1">
      <c r="B11" s="32"/>
      <c r="C11" s="17">
        <v>1344.4</v>
      </c>
      <c r="D11" s="18"/>
      <c r="E11" s="18">
        <v>90.8</v>
      </c>
      <c r="F11" s="18"/>
      <c r="G11" s="18"/>
      <c r="H11" s="18">
        <v>3.9</v>
      </c>
      <c r="I11" s="16">
        <f>C11/C10-1</f>
        <v>0.0592499212102112</v>
      </c>
      <c r="J11" s="16">
        <f>(E11+H11-C11)/C11</f>
        <v>-0.929559654864624</v>
      </c>
      <c r="K11" s="16">
        <f>AVERAGE(L8:L11)</f>
        <v>-0.95018337648061</v>
      </c>
      <c r="L11" s="16">
        <f>('Cashflow '!F11-'Cashflow '!C11)/'Cashflow '!C11</f>
        <v>-1.04558404558405</v>
      </c>
    </row>
    <row r="12" ht="20.05" customHeight="1">
      <c r="B12" s="33">
        <v>2017</v>
      </c>
      <c r="C12" s="17">
        <v>1287.9</v>
      </c>
      <c r="D12" s="18"/>
      <c r="E12" s="18">
        <v>95.2</v>
      </c>
      <c r="F12" s="18"/>
      <c r="G12" s="18"/>
      <c r="H12" s="18">
        <v>45</v>
      </c>
      <c r="I12" s="16">
        <f>C12/C11-1</f>
        <v>-0.0420261826837251</v>
      </c>
      <c r="J12" s="16">
        <f>(E12+H12-C12)/C12</f>
        <v>-0.891140616507493</v>
      </c>
      <c r="K12" s="16">
        <f>AVERAGE(L9:L12)</f>
        <v>-0.917469459271647</v>
      </c>
      <c r="L12" s="16">
        <f>('Cashflow '!F12-'Cashflow '!C12)/'Cashflow '!C12</f>
        <v>-0.769508670520231</v>
      </c>
    </row>
    <row r="13" ht="20.05" customHeight="1">
      <c r="B13" s="32"/>
      <c r="C13" s="17">
        <v>1222.5</v>
      </c>
      <c r="D13" s="18"/>
      <c r="E13" s="18">
        <v>96.40000000000001</v>
      </c>
      <c r="F13" s="18"/>
      <c r="G13" s="18"/>
      <c r="H13" s="18">
        <v>-12.6</v>
      </c>
      <c r="I13" s="16">
        <f>C13/C12-1</f>
        <v>-0.0507803400885162</v>
      </c>
      <c r="J13" s="16">
        <f>(E13+H13-C13)/C13</f>
        <v>-0.931451942740286</v>
      </c>
      <c r="K13" s="16">
        <f>AVERAGE(L10:L13)</f>
        <v>-0.949088684393074</v>
      </c>
      <c r="L13" s="16">
        <f>('Cashflow '!F13-'Cashflow '!C13)/'Cashflow '!C13</f>
        <v>-1.04698972099853</v>
      </c>
    </row>
    <row r="14" ht="20.05" customHeight="1">
      <c r="B14" s="32"/>
      <c r="C14" s="17">
        <v>1389.1</v>
      </c>
      <c r="D14" s="18"/>
      <c r="E14" s="18">
        <v>99.90000000000001</v>
      </c>
      <c r="F14" s="18"/>
      <c r="G14" s="18"/>
      <c r="H14" s="18">
        <v>37.7</v>
      </c>
      <c r="I14" s="16">
        <f>C14/C13-1</f>
        <v>0.136278118609407</v>
      </c>
      <c r="J14" s="16">
        <f>(E14+H14-C14)/C14</f>
        <v>-0.900943056655388</v>
      </c>
      <c r="K14" s="16">
        <f>AVERAGE(L11:L14)</f>
        <v>-0.938800960056739</v>
      </c>
      <c r="L14" s="16">
        <f>('Cashflow '!F14-'Cashflow '!C14)/'Cashflow '!C14</f>
        <v>-0.893121403124144</v>
      </c>
    </row>
    <row r="15" ht="20.05" customHeight="1">
      <c r="B15" s="32"/>
      <c r="C15" s="17">
        <v>1406.5</v>
      </c>
      <c r="D15" s="18"/>
      <c r="E15" s="18">
        <v>114.5</v>
      </c>
      <c r="F15" s="18"/>
      <c r="G15" s="18"/>
      <c r="H15" s="18">
        <v>33.4</v>
      </c>
      <c r="I15" s="16">
        <f>C15/C14-1</f>
        <v>0.0125260960334029</v>
      </c>
      <c r="J15" s="16">
        <f>(E15+H15-C15)/C15</f>
        <v>-0.894845360824742</v>
      </c>
      <c r="K15" s="16">
        <f>AVERAGE(L12:L15)</f>
        <v>-0.9578939574799959</v>
      </c>
      <c r="L15" s="16">
        <f>('Cashflow '!F15-'Cashflow '!C15)/'Cashflow '!C15</f>
        <v>-1.12195603527708</v>
      </c>
    </row>
    <row r="16" ht="20.05" customHeight="1">
      <c r="B16" s="33">
        <v>2018</v>
      </c>
      <c r="C16" s="17">
        <v>1447.2</v>
      </c>
      <c r="D16" s="18"/>
      <c r="E16" s="18">
        <v>115.1</v>
      </c>
      <c r="F16" s="18">
        <v>2.4</v>
      </c>
      <c r="G16" s="18"/>
      <c r="H16" s="18">
        <v>3.9</v>
      </c>
      <c r="I16" s="16">
        <f>C16/C15-1</f>
        <v>0.0289370778528262</v>
      </c>
      <c r="J16" s="16">
        <f>(E16+H16-C16)/C16</f>
        <v>-0.9177722498618019</v>
      </c>
      <c r="K16" s="16">
        <f>AVERAGE(L13:L16)</f>
        <v>-1.00192653340305</v>
      </c>
      <c r="L16" s="16">
        <f>('Cashflow '!F16-'Cashflow '!C16)/'Cashflow '!C16</f>
        <v>-0.945638974212444</v>
      </c>
    </row>
    <row r="17" ht="20.05" customHeight="1">
      <c r="B17" s="32"/>
      <c r="C17" s="17">
        <v>1400.8</v>
      </c>
      <c r="D17" s="18"/>
      <c r="E17" s="18">
        <v>112.3</v>
      </c>
      <c r="F17" s="18">
        <v>8.699999999999999</v>
      </c>
      <c r="G17" s="18"/>
      <c r="H17" s="18">
        <v>-25.2</v>
      </c>
      <c r="I17" s="16">
        <f>C17/C16-1</f>
        <v>-0.0320619126589276</v>
      </c>
      <c r="J17" s="16">
        <f>(E17+H17-C17)/C17</f>
        <v>-0.937821245002856</v>
      </c>
      <c r="K17" s="16">
        <f>AVERAGE(L14:L17)</f>
        <v>-0.980775614530921</v>
      </c>
      <c r="L17" s="16">
        <f>('Cashflow '!F17-'Cashflow '!C17)/'Cashflow '!C17</f>
        <v>-0.9623860455100141</v>
      </c>
    </row>
    <row r="18" ht="20.05" customHeight="1">
      <c r="B18" s="32"/>
      <c r="C18" s="17">
        <v>1548</v>
      </c>
      <c r="D18" s="18"/>
      <c r="E18" s="18">
        <v>118.7</v>
      </c>
      <c r="F18" s="18">
        <v>28.4</v>
      </c>
      <c r="G18" s="18"/>
      <c r="H18" s="18">
        <v>31</v>
      </c>
      <c r="I18" s="16">
        <f>C18/C17-1</f>
        <v>0.105082809822958</v>
      </c>
      <c r="J18" s="16">
        <f>(E18+H18-C18)/C18</f>
        <v>-0.903294573643411</v>
      </c>
      <c r="K18" s="16">
        <f>AVERAGE(L15:L18)</f>
        <v>-0.987724589670663</v>
      </c>
      <c r="L18" s="16">
        <f>('Cashflow '!F18-'Cashflow '!C18)/'Cashflow '!C18</f>
        <v>-0.920917303683113</v>
      </c>
    </row>
    <row r="19" ht="20.05" customHeight="1">
      <c r="B19" s="32"/>
      <c r="C19" s="17">
        <v>1569</v>
      </c>
      <c r="D19" s="18"/>
      <c r="E19" s="18">
        <v>119.9</v>
      </c>
      <c r="F19" s="18">
        <v>17.8</v>
      </c>
      <c r="G19" s="18"/>
      <c r="H19" s="18">
        <v>16.7</v>
      </c>
      <c r="I19" s="16">
        <f>C19/C18-1</f>
        <v>0.0135658914728682</v>
      </c>
      <c r="J19" s="16">
        <f>(E19+H19-C19)/C19</f>
        <v>-0.912938177182919</v>
      </c>
      <c r="K19" s="16">
        <f>AVERAGE(L16:L19)</f>
        <v>-0.963821693853435</v>
      </c>
      <c r="L19" s="16">
        <f>('Cashflow '!F19-'Cashflow '!C19)/'Cashflow '!C19</f>
        <v>-1.02634445200817</v>
      </c>
    </row>
    <row r="20" ht="20.05" customHeight="1">
      <c r="B20" s="33">
        <v>2019</v>
      </c>
      <c r="C20" s="17">
        <v>1710.9</v>
      </c>
      <c r="D20" s="18"/>
      <c r="E20" s="18">
        <v>123.3</v>
      </c>
      <c r="F20" s="18">
        <v>6.5</v>
      </c>
      <c r="G20" s="18">
        <v>107.5</v>
      </c>
      <c r="H20" s="18">
        <v>8.9</v>
      </c>
      <c r="I20" s="16">
        <f>C20/C19-1</f>
        <v>0.0904397705544933</v>
      </c>
      <c r="J20" s="16">
        <f>(E20+H20+G20-C20)/C20</f>
        <v>-0.859898299140803</v>
      </c>
      <c r="K20" s="16">
        <f>AVERAGE(L17:L20)</f>
        <v>-0.951986315864089</v>
      </c>
      <c r="L20" s="16">
        <f>('Cashflow '!F20-'Cashflow '!C20)/'Cashflow '!C20</f>
        <v>-0.898297462255059</v>
      </c>
    </row>
    <row r="21" ht="20.05" customHeight="1">
      <c r="B21" s="32"/>
      <c r="C21" s="17">
        <v>1666.1</v>
      </c>
      <c r="D21" s="18"/>
      <c r="E21" s="18">
        <v>126.7</v>
      </c>
      <c r="F21" s="18">
        <v>7.3</v>
      </c>
      <c r="G21" s="18">
        <v>107.5</v>
      </c>
      <c r="H21" s="18">
        <v>1.7</v>
      </c>
      <c r="I21" s="16">
        <f>C21/C20-1</f>
        <v>-0.0261850488047227</v>
      </c>
      <c r="J21" s="16">
        <f>(E21+H21+G21-C21)/C21</f>
        <v>-0.858411860032411</v>
      </c>
      <c r="K21" s="16">
        <f>AVERAGE(L18:L21)</f>
        <v>-0.9555429709077931</v>
      </c>
      <c r="L21" s="16">
        <f>('Cashflow '!F21-'Cashflow '!C21)/'Cashflow '!C21</f>
        <v>-0.976612665684831</v>
      </c>
    </row>
    <row r="22" ht="20.05" customHeight="1">
      <c r="B22" s="32"/>
      <c r="C22" s="17">
        <v>1839</v>
      </c>
      <c r="D22" s="18">
        <v>1826.64</v>
      </c>
      <c r="E22" s="18">
        <v>128</v>
      </c>
      <c r="F22" s="18">
        <v>22.2</v>
      </c>
      <c r="G22" s="18">
        <v>107.5</v>
      </c>
      <c r="H22" s="18">
        <v>43.4</v>
      </c>
      <c r="I22" s="16">
        <f>C22/C21-1</f>
        <v>0.103775283596423</v>
      </c>
      <c r="J22" s="16">
        <f>(E22+H22+G22-C22)/C22</f>
        <v>-0.848341489940185</v>
      </c>
      <c r="K22" s="16">
        <f>AVERAGE(L19:L22)</f>
        <v>-0.9524029821628081</v>
      </c>
      <c r="L22" s="16">
        <f>('Cashflow '!F22-'Cashflow '!C22)/'Cashflow '!C22</f>
        <v>-0.90835734870317</v>
      </c>
    </row>
    <row r="23" ht="20.05" customHeight="1">
      <c r="B23" s="32"/>
      <c r="C23" s="17">
        <v>1801.9</v>
      </c>
      <c r="D23" s="18">
        <v>1851.42</v>
      </c>
      <c r="E23" s="18">
        <v>135</v>
      </c>
      <c r="F23" s="18">
        <v>22.6</v>
      </c>
      <c r="G23" s="18">
        <v>107.5</v>
      </c>
      <c r="H23" s="18">
        <v>-386.9</v>
      </c>
      <c r="I23" s="16">
        <f>C23/C22-1</f>
        <v>-0.0201740076128331</v>
      </c>
      <c r="J23" s="16">
        <f>(E23+H23+G23-C23)/C23</f>
        <v>-1.08013763249903</v>
      </c>
      <c r="K23" s="16">
        <f>AVERAGE(L20:L23)</f>
        <v>-0.907653381704825</v>
      </c>
      <c r="L23" s="16">
        <f>('Cashflow '!F23-'Cashflow '!C23)/'Cashflow '!C23</f>
        <v>-0.847346050176239</v>
      </c>
    </row>
    <row r="24" ht="20.05" customHeight="1">
      <c r="B24" s="33">
        <v>2020</v>
      </c>
      <c r="C24" s="17">
        <v>1876.3</v>
      </c>
      <c r="D24" s="18">
        <v>2018.862</v>
      </c>
      <c r="E24" s="18">
        <v>184</v>
      </c>
      <c r="F24" s="18">
        <v>7.1</v>
      </c>
      <c r="G24" s="18">
        <v>25.5</v>
      </c>
      <c r="H24" s="18">
        <v>19.4</v>
      </c>
      <c r="I24" s="16">
        <f>C24/C23-1</f>
        <v>0.0412897497086409</v>
      </c>
      <c r="J24" s="16">
        <f>(E24+H24+G24-C24)/C24</f>
        <v>-0.878004583488781</v>
      </c>
      <c r="K24" s="16">
        <f>AVERAGE(L21:L24)</f>
        <v>-0.88123913548467</v>
      </c>
      <c r="L24" s="16">
        <f>('Cashflow '!F24-'Cashflow '!C24)/'Cashflow '!C24</f>
        <v>-0.792640477374441</v>
      </c>
    </row>
    <row r="25" ht="20.05" customHeight="1">
      <c r="B25" s="32"/>
      <c r="C25" s="17">
        <v>1299.4</v>
      </c>
      <c r="D25" s="18">
        <v>1716.083</v>
      </c>
      <c r="E25" s="18">
        <v>185.9</v>
      </c>
      <c r="F25" s="18">
        <v>3.2</v>
      </c>
      <c r="G25" s="18">
        <v>25.5</v>
      </c>
      <c r="H25" s="18">
        <v>-148.8</v>
      </c>
      <c r="I25" s="16">
        <f>C25/C24-1</f>
        <v>-0.307466823002718</v>
      </c>
      <c r="J25" s="16">
        <f>(E25+H25+G25-C25)/C25</f>
        <v>-0.951823918731722</v>
      </c>
      <c r="K25" s="16">
        <f>AVERAGE(L22:L25)</f>
        <v>-0.882831374100903</v>
      </c>
      <c r="L25" s="16">
        <f>('Cashflow '!F25-'Cashflow '!C25)/'Cashflow '!C25</f>
        <v>-0.982981620149762</v>
      </c>
    </row>
    <row r="26" ht="20.05" customHeight="1">
      <c r="B26" s="32"/>
      <c r="C26" s="17">
        <f>5001.3-SUM(C24:C25)</f>
        <v>1825.6</v>
      </c>
      <c r="D26" s="18">
        <v>1689.22</v>
      </c>
      <c r="E26" s="18">
        <f>555.5-SUM(E24:E25)</f>
        <v>185.6</v>
      </c>
      <c r="F26" s="18">
        <v>5.3</v>
      </c>
      <c r="G26" s="18">
        <v>25.5</v>
      </c>
      <c r="H26" s="18">
        <f>-43-SUM(H24:H25)</f>
        <v>86.40000000000001</v>
      </c>
      <c r="I26" s="16">
        <f>C26/C25-1</f>
        <v>0.404956133600123</v>
      </c>
      <c r="J26" s="16">
        <f>(E26+H26+G26-C26)/C26</f>
        <v>-0.837039877300613</v>
      </c>
      <c r="K26" s="16">
        <f>AVERAGE(L23:L26)</f>
        <v>-0.845117247622942</v>
      </c>
      <c r="L26" s="16">
        <f>('Cashflow '!F26-'Cashflow '!C26)/'Cashflow '!C26</f>
        <v>-0.757500842791325</v>
      </c>
    </row>
    <row r="27" ht="20.05" customHeight="1">
      <c r="B27" s="32"/>
      <c r="C27" s="17">
        <f>7110.1-SUM(C24:C26)</f>
        <v>2108.8</v>
      </c>
      <c r="D27" s="18">
        <v>1916.88</v>
      </c>
      <c r="E27" s="18">
        <f>777-SUM(E24:E26)</f>
        <v>221.5</v>
      </c>
      <c r="F27" s="18">
        <v>13.8</v>
      </c>
      <c r="G27" s="18">
        <v>25.5</v>
      </c>
      <c r="H27" s="18">
        <f>125.2-SUM(H24:H26)</f>
        <v>168.2</v>
      </c>
      <c r="I27" s="16">
        <f>C27/C26-1</f>
        <v>0.15512708150745</v>
      </c>
      <c r="J27" s="16">
        <f>(E27+H27+G27-C27)/C27</f>
        <v>-0.803110773899848</v>
      </c>
      <c r="K27" s="16">
        <f>AVERAGE(L24:L27)</f>
        <v>-0.820397049524473</v>
      </c>
      <c r="L27" s="16">
        <f>('Cashflow '!F27-'Cashflow '!C27)/'Cashflow '!C27</f>
        <v>-0.7484652577823649</v>
      </c>
    </row>
    <row r="28" ht="20.05" customHeight="1">
      <c r="B28" s="33">
        <v>2021</v>
      </c>
      <c r="C28" s="17">
        <v>1912</v>
      </c>
      <c r="D28" s="18">
        <v>2172.064</v>
      </c>
      <c r="E28" s="18">
        <v>257</v>
      </c>
      <c r="F28" s="18">
        <v>5.8</v>
      </c>
      <c r="G28" s="18">
        <f>66.8+4.4</f>
        <v>71.2</v>
      </c>
      <c r="H28" s="18">
        <v>150</v>
      </c>
      <c r="I28" s="16">
        <f>C28/C27-1</f>
        <v>-0.0933232169954476</v>
      </c>
      <c r="J28" s="16">
        <f>(E28+H28+G28-C28)/C28</f>
        <v>-0.74989539748954</v>
      </c>
      <c r="K28" s="16">
        <f>AVERAGE(L25:L28)</f>
        <v>-0.778486930180863</v>
      </c>
      <c r="L28" s="16">
        <f>('Cashflow '!F28-'Cashflow '!C28)/'Cashflow '!C28</f>
        <v>-0.625</v>
      </c>
    </row>
    <row r="29" ht="20.05" customHeight="1">
      <c r="B29" s="32"/>
      <c r="C29" s="17">
        <f>827.2+3811.5-C28</f>
        <v>2726.7</v>
      </c>
      <c r="D29" s="18">
        <v>1950.24</v>
      </c>
      <c r="E29" s="18">
        <f>462.2-E28</f>
        <v>205.2</v>
      </c>
      <c r="F29" s="18">
        <f>12.3-F28</f>
        <v>6.5</v>
      </c>
      <c r="G29" s="18">
        <f>119.4+10.4-G28</f>
        <v>58.6</v>
      </c>
      <c r="H29" s="18">
        <f>313.8-H28</f>
        <v>163.8</v>
      </c>
      <c r="I29" s="16">
        <f>C29/C28-1</f>
        <v>0.426098326359833</v>
      </c>
      <c r="J29" s="16">
        <f>(E29+H29+G29-C29)/C29</f>
        <v>-0.843180401217589</v>
      </c>
      <c r="K29" s="16">
        <f>AVERAGE(L26:L29)</f>
        <v>-0.79879779385523</v>
      </c>
      <c r="L29" s="16">
        <f>('Cashflow '!F29-'Cashflow '!C29)/'Cashflow '!C29</f>
        <v>-1.06422507484723</v>
      </c>
    </row>
    <row r="30" ht="20.05" customHeight="1">
      <c r="B30" s="32"/>
      <c r="C30" s="17">
        <f>5888.6+1254.9-SUM(C28:C29)</f>
        <v>2504.8</v>
      </c>
      <c r="D30" s="14">
        <v>2999.37</v>
      </c>
      <c r="E30" s="18">
        <f>694-SUM(E28:E29)</f>
        <v>231.8</v>
      </c>
      <c r="F30" s="18">
        <f>19.9-SUM(F28:F29)</f>
        <v>7.6</v>
      </c>
      <c r="G30" s="18">
        <f>119.9+16.1-SUM(G28:G29)</f>
        <v>6.2</v>
      </c>
      <c r="H30" s="18">
        <f>552.6-SUM(H28:H29)</f>
        <v>238.8</v>
      </c>
      <c r="I30" s="16">
        <f>C30/C29-1</f>
        <v>-0.08138042322220999</v>
      </c>
      <c r="J30" s="16">
        <f>(E30+H30+G30-C30)/C30</f>
        <v>-0.8096454806771</v>
      </c>
      <c r="K30" s="16">
        <f>AVERAGE(L27:L30)</f>
        <v>-0.816013470986008</v>
      </c>
      <c r="L30" s="16">
        <f>('Cashflow '!F30-'Cashflow '!C30)/'Cashflow '!C30</f>
        <v>-0.826363551314435</v>
      </c>
    </row>
    <row r="31" ht="20.05" customHeight="1">
      <c r="B31" s="32"/>
      <c r="C31" s="17"/>
      <c r="D31" s="14">
        <f>'Model'!C6</f>
        <v>2529.848</v>
      </c>
      <c r="E31" s="18"/>
      <c r="F31" s="18"/>
      <c r="G31" s="18"/>
      <c r="H31" s="18"/>
      <c r="I31" s="12"/>
      <c r="J31" s="16">
        <f>'Model'!C7</f>
        <v>-0.8096454806771</v>
      </c>
      <c r="K31" s="12"/>
      <c r="L31" s="12"/>
    </row>
    <row r="32" ht="20.05" customHeight="1">
      <c r="B32" s="33">
        <v>2022</v>
      </c>
      <c r="C32" s="17"/>
      <c r="D32" s="18">
        <f>'Model'!D6</f>
        <v>2656.3404</v>
      </c>
      <c r="E32" s="18"/>
      <c r="F32" s="18"/>
      <c r="G32" s="18"/>
      <c r="H32" s="18"/>
      <c r="I32" s="12"/>
      <c r="J32" s="12"/>
      <c r="K32" s="12"/>
      <c r="L32" s="12"/>
    </row>
    <row r="33" ht="20.05" customHeight="1">
      <c r="B33" s="32"/>
      <c r="C33" s="17"/>
      <c r="D33" s="18">
        <f>SUM('Model'!E6)</f>
        <v>2629.776996</v>
      </c>
      <c r="E33" s="18"/>
      <c r="F33" s="18"/>
      <c r="G33" s="18"/>
      <c r="H33" s="18"/>
      <c r="I33" s="12"/>
      <c r="J33" s="12"/>
      <c r="K33" s="12"/>
      <c r="L33" s="12"/>
    </row>
    <row r="34" ht="20.05" customHeight="1">
      <c r="B34" s="32"/>
      <c r="C34" s="17"/>
      <c r="D34" s="18">
        <f>'Model'!F6</f>
        <v>2813.86138572</v>
      </c>
      <c r="E34" s="18"/>
      <c r="F34" s="18"/>
      <c r="G34" s="18"/>
      <c r="H34" s="18"/>
      <c r="I34" s="12"/>
      <c r="J34" s="12"/>
      <c r="K34" s="12"/>
      <c r="L34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19531" style="34" customWidth="1"/>
    <col min="2" max="2" width="10.9219" style="34" customWidth="1"/>
    <col min="3" max="11" width="11.1094" style="34" customWidth="1"/>
    <col min="12" max="16384" width="16.3516" style="34" customWidth="1"/>
  </cols>
  <sheetData>
    <row r="1" ht="12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49</v>
      </c>
      <c r="D3" t="s" s="4">
        <v>50</v>
      </c>
      <c r="E3" t="s" s="4">
        <v>10</v>
      </c>
      <c r="F3" t="s" s="4">
        <v>8</v>
      </c>
      <c r="G3" t="s" s="4">
        <v>51</v>
      </c>
      <c r="H3" t="s" s="4">
        <v>11</v>
      </c>
      <c r="I3" t="s" s="4">
        <v>52</v>
      </c>
      <c r="J3" t="s" s="4">
        <v>33</v>
      </c>
      <c r="K3" t="s" s="4">
        <v>29</v>
      </c>
    </row>
    <row r="4" ht="20.25" customHeight="1">
      <c r="B4" s="28">
        <v>2015</v>
      </c>
      <c r="C4" s="29">
        <v>893</v>
      </c>
      <c r="D4" s="30"/>
      <c r="E4" s="30"/>
      <c r="F4" s="30">
        <v>70</v>
      </c>
      <c r="G4" s="30">
        <v>-111</v>
      </c>
      <c r="H4" s="30">
        <v>-6.8</v>
      </c>
      <c r="I4" s="30">
        <f>F4+G4+E4</f>
        <v>-41</v>
      </c>
      <c r="J4" s="35"/>
      <c r="K4" s="30">
        <f>-(H4-E4)</f>
        <v>6.8</v>
      </c>
    </row>
    <row r="5" ht="20.05" customHeight="1">
      <c r="B5" s="32"/>
      <c r="C5" s="17">
        <v>998</v>
      </c>
      <c r="D5" s="18"/>
      <c r="E5" s="18"/>
      <c r="F5" s="18">
        <v>63.6</v>
      </c>
      <c r="G5" s="18">
        <v>-74</v>
      </c>
      <c r="H5" s="18">
        <v>-3.2</v>
      </c>
      <c r="I5" s="18">
        <f>F5+G5+E5</f>
        <v>-10.4</v>
      </c>
      <c r="J5" s="21"/>
      <c r="K5" s="18">
        <f>-(H5-E5)+K4</f>
        <v>10</v>
      </c>
    </row>
    <row r="6" ht="20.05" customHeight="1">
      <c r="B6" s="32"/>
      <c r="C6" s="17">
        <v>996.9</v>
      </c>
      <c r="D6" s="18"/>
      <c r="E6" s="18"/>
      <c r="F6" s="18">
        <v>79</v>
      </c>
      <c r="G6" s="18">
        <v>-112</v>
      </c>
      <c r="H6" s="18">
        <v>-47</v>
      </c>
      <c r="I6" s="18">
        <f>F6+G6+E6</f>
        <v>-33</v>
      </c>
      <c r="J6" s="21"/>
      <c r="K6" s="18">
        <f>-(H6-E6)+K5</f>
        <v>57</v>
      </c>
    </row>
    <row r="7" ht="20.05" customHeight="1">
      <c r="B7" s="32"/>
      <c r="C7" s="17">
        <v>1085.1</v>
      </c>
      <c r="D7" s="18"/>
      <c r="E7" s="18"/>
      <c r="F7" s="18">
        <v>42.4</v>
      </c>
      <c r="G7" s="18">
        <v>-55</v>
      </c>
      <c r="H7" s="18">
        <v>34</v>
      </c>
      <c r="I7" s="18">
        <f>F7+G7+E7</f>
        <v>-12.6</v>
      </c>
      <c r="J7" s="21"/>
      <c r="K7" s="18">
        <f>-(H7-E7)+K6</f>
        <v>23</v>
      </c>
    </row>
    <row r="8" ht="20.05" customHeight="1">
      <c r="B8" s="33">
        <v>2016</v>
      </c>
      <c r="C8" s="17">
        <v>1344.9</v>
      </c>
      <c r="D8" s="18"/>
      <c r="E8" s="18"/>
      <c r="F8" s="18">
        <v>134</v>
      </c>
      <c r="G8" s="18">
        <v>-110</v>
      </c>
      <c r="H8" s="18">
        <v>-3.6</v>
      </c>
      <c r="I8" s="18">
        <f>F8+G8+E8</f>
        <v>24</v>
      </c>
      <c r="J8" s="18">
        <f>AVERAGE(I5:I8)</f>
        <v>-8</v>
      </c>
      <c r="K8" s="18">
        <f>-(H8-E8)+K7</f>
        <v>26.6</v>
      </c>
    </row>
    <row r="9" ht="20.05" customHeight="1">
      <c r="B9" s="32"/>
      <c r="C9" s="17">
        <v>1092</v>
      </c>
      <c r="D9" s="18"/>
      <c r="E9" s="18"/>
      <c r="F9" s="18">
        <v>86.8</v>
      </c>
      <c r="G9" s="18">
        <v>-95.5</v>
      </c>
      <c r="H9" s="18">
        <v>-6.7</v>
      </c>
      <c r="I9" s="18">
        <f>F9+G9+E9</f>
        <v>-8.699999999999999</v>
      </c>
      <c r="J9" s="18">
        <f>AVERAGE(I6:I9)</f>
        <v>-7.575</v>
      </c>
      <c r="K9" s="18">
        <f>-(H9-E9)+K8</f>
        <v>33.3</v>
      </c>
    </row>
    <row r="10" ht="20.05" customHeight="1">
      <c r="B10" s="32"/>
      <c r="C10" s="17">
        <v>1214.1</v>
      </c>
      <c r="D10" s="18"/>
      <c r="E10" s="18"/>
      <c r="F10" s="18">
        <v>79.8</v>
      </c>
      <c r="G10" s="18">
        <v>-133.2</v>
      </c>
      <c r="H10" s="18">
        <v>-5.7</v>
      </c>
      <c r="I10" s="18">
        <f>F10+G10+E10</f>
        <v>-53.4</v>
      </c>
      <c r="J10" s="18">
        <f>AVERAGE(I7:I10)</f>
        <v>-12.675</v>
      </c>
      <c r="K10" s="18">
        <f>-(H10-E10)+K9</f>
        <v>39</v>
      </c>
    </row>
    <row r="11" ht="20.05" customHeight="1">
      <c r="B11" s="32"/>
      <c r="C11" s="17">
        <v>1333.8</v>
      </c>
      <c r="D11" s="18"/>
      <c r="E11" s="18"/>
      <c r="F11" s="18">
        <v>-60.8</v>
      </c>
      <c r="G11" s="18">
        <v>-229</v>
      </c>
      <c r="H11" s="18">
        <v>-891.9</v>
      </c>
      <c r="I11" s="18">
        <f>F11+G11+E11</f>
        <v>-289.8</v>
      </c>
      <c r="J11" s="18">
        <f>AVERAGE(I8:I11)</f>
        <v>-81.97499999999999</v>
      </c>
      <c r="K11" s="18">
        <f>-(H11-E11)+K10</f>
        <v>930.9</v>
      </c>
    </row>
    <row r="12" ht="20.05" customHeight="1">
      <c r="B12" s="33">
        <v>2017</v>
      </c>
      <c r="C12" s="17">
        <v>1384</v>
      </c>
      <c r="D12" s="18">
        <v>-17</v>
      </c>
      <c r="E12" s="18"/>
      <c r="F12" s="18">
        <v>319</v>
      </c>
      <c r="G12" s="18">
        <v>-361</v>
      </c>
      <c r="H12" s="18">
        <v>-35.6</v>
      </c>
      <c r="I12" s="18">
        <f>F12+G12+E12</f>
        <v>-42</v>
      </c>
      <c r="J12" s="18">
        <f>AVERAGE(I9:I12)</f>
        <v>-98.47499999999999</v>
      </c>
      <c r="K12" s="18">
        <f>-(H12-E12)+K11</f>
        <v>966.5</v>
      </c>
    </row>
    <row r="13" ht="20.05" customHeight="1">
      <c r="B13" s="32"/>
      <c r="C13" s="17">
        <v>1362</v>
      </c>
      <c r="D13" s="18">
        <v>-135</v>
      </c>
      <c r="E13" s="18"/>
      <c r="F13" s="18">
        <v>-64</v>
      </c>
      <c r="G13" s="18">
        <v>-233</v>
      </c>
      <c r="H13" s="18">
        <v>7.6</v>
      </c>
      <c r="I13" s="18">
        <f>F13+G13+E13</f>
        <v>-297</v>
      </c>
      <c r="J13" s="18">
        <f>AVERAGE(I10:I13)</f>
        <v>-170.55</v>
      </c>
      <c r="K13" s="18">
        <f>-(H13-E13)+K12</f>
        <v>958.9</v>
      </c>
    </row>
    <row r="14" ht="20.05" customHeight="1">
      <c r="B14" s="32"/>
      <c r="C14" s="17">
        <v>1459.6</v>
      </c>
      <c r="D14" s="18">
        <v>-154</v>
      </c>
      <c r="E14" s="18"/>
      <c r="F14" s="18">
        <v>156</v>
      </c>
      <c r="G14" s="18">
        <v>-330</v>
      </c>
      <c r="H14" s="18">
        <v>5</v>
      </c>
      <c r="I14" s="18">
        <f>F14+G14+E14</f>
        <v>-174</v>
      </c>
      <c r="J14" s="18">
        <f>AVERAGE(I11:I14)</f>
        <v>-200.7</v>
      </c>
      <c r="K14" s="18">
        <f>-(H14-E14)+K13</f>
        <v>953.9</v>
      </c>
    </row>
    <row r="15" ht="20.05" customHeight="1">
      <c r="B15" s="32"/>
      <c r="C15" s="17">
        <v>1519.4</v>
      </c>
      <c r="D15" s="18">
        <v>-1598</v>
      </c>
      <c r="E15" s="18"/>
      <c r="F15" s="18">
        <v>-185.3</v>
      </c>
      <c r="G15" s="18">
        <v>-2153.7</v>
      </c>
      <c r="H15" s="18">
        <v>3063</v>
      </c>
      <c r="I15" s="18">
        <f>F15+G15+E15</f>
        <v>-2339</v>
      </c>
      <c r="J15" s="18">
        <f>AVERAGE(I12:I15)</f>
        <v>-713</v>
      </c>
      <c r="K15" s="18">
        <f>-(H15-E15)+K14</f>
        <v>-2109.1</v>
      </c>
    </row>
    <row r="16" ht="20.05" customHeight="1">
      <c r="B16" s="33">
        <v>2018</v>
      </c>
      <c r="C16" s="17">
        <v>1399.9</v>
      </c>
      <c r="D16" s="18">
        <v>-181.5</v>
      </c>
      <c r="E16" s="18"/>
      <c r="F16" s="18">
        <v>76.09999999999999</v>
      </c>
      <c r="G16" s="18">
        <v>-222.3</v>
      </c>
      <c r="H16" s="18">
        <v>-12.7</v>
      </c>
      <c r="I16" s="18">
        <f>F16+G16+E16</f>
        <v>-146.2</v>
      </c>
      <c r="J16" s="18">
        <f>AVERAGE(I13:I16)</f>
        <v>-739.05</v>
      </c>
      <c r="K16" s="18">
        <f>-(H16-E16)+K15</f>
        <v>-2096.4</v>
      </c>
    </row>
    <row r="17" ht="20.05" customHeight="1">
      <c r="B17" s="32"/>
      <c r="C17" s="17">
        <v>1393.1</v>
      </c>
      <c r="D17" s="18">
        <v>-203.9</v>
      </c>
      <c r="E17" s="18"/>
      <c r="F17" s="18">
        <v>52.4</v>
      </c>
      <c r="G17" s="18">
        <v>-373.7</v>
      </c>
      <c r="H17" s="18">
        <v>-14.6</v>
      </c>
      <c r="I17" s="18">
        <f>F17+G17+E17</f>
        <v>-321.3</v>
      </c>
      <c r="J17" s="18">
        <f>AVERAGE(I14:I17)</f>
        <v>-745.125</v>
      </c>
      <c r="K17" s="18">
        <f>-(H17-E17)+K16</f>
        <v>-2081.8</v>
      </c>
    </row>
    <row r="18" ht="20.05" customHeight="1">
      <c r="B18" s="32"/>
      <c r="C18" s="17">
        <v>1439</v>
      </c>
      <c r="D18" s="18">
        <v>-144.9</v>
      </c>
      <c r="E18" s="18"/>
      <c r="F18" s="18">
        <v>113.8</v>
      </c>
      <c r="G18" s="18">
        <v>-178.7</v>
      </c>
      <c r="H18" s="18">
        <v>-13.5</v>
      </c>
      <c r="I18" s="18">
        <f>F18+G18+E18</f>
        <v>-64.90000000000001</v>
      </c>
      <c r="J18" s="18">
        <f>AVERAGE(I15:I18)</f>
        <v>-717.85</v>
      </c>
      <c r="K18" s="18">
        <f>-(H18-E18)+K17</f>
        <v>-2068.3</v>
      </c>
    </row>
    <row r="19" ht="20.05" customHeight="1">
      <c r="B19" s="32"/>
      <c r="C19" s="17">
        <v>1469</v>
      </c>
      <c r="D19" s="18">
        <v>-268.1</v>
      </c>
      <c r="E19" s="18"/>
      <c r="F19" s="18">
        <v>-38.7</v>
      </c>
      <c r="G19" s="18">
        <v>-169.3</v>
      </c>
      <c r="H19" s="18">
        <v>66.40000000000001</v>
      </c>
      <c r="I19" s="18">
        <f>F19+G19+E19</f>
        <v>-208</v>
      </c>
      <c r="J19" s="18">
        <f>AVERAGE(I16:I19)</f>
        <v>-185.1</v>
      </c>
      <c r="K19" s="18">
        <f>-(H19-E19)+K18</f>
        <v>-2134.7</v>
      </c>
    </row>
    <row r="20" ht="20.05" customHeight="1">
      <c r="B20" s="33">
        <v>2019</v>
      </c>
      <c r="C20" s="17">
        <v>1556.5</v>
      </c>
      <c r="D20" s="18">
        <v>-170.8</v>
      </c>
      <c r="E20" s="18">
        <v>-6.25</v>
      </c>
      <c r="F20" s="18">
        <v>158.3</v>
      </c>
      <c r="G20" s="18">
        <v>-184</v>
      </c>
      <c r="H20" s="18">
        <v>-47.8</v>
      </c>
      <c r="I20" s="18">
        <f>F20+G20+E20</f>
        <v>-31.95</v>
      </c>
      <c r="J20" s="18">
        <f>AVERAGE(I17:I20)</f>
        <v>-156.5375</v>
      </c>
      <c r="K20" s="18">
        <f>-(H20-E20)+K19</f>
        <v>-2093.15</v>
      </c>
    </row>
    <row r="21" ht="20.05" customHeight="1">
      <c r="B21" s="32"/>
      <c r="C21" s="17">
        <v>1697.5</v>
      </c>
      <c r="D21" s="18">
        <v>-96.7</v>
      </c>
      <c r="E21" s="18">
        <v>-6.25</v>
      </c>
      <c r="F21" s="18">
        <v>39.7</v>
      </c>
      <c r="G21" s="18">
        <v>-102</v>
      </c>
      <c r="H21" s="18">
        <v>46.8</v>
      </c>
      <c r="I21" s="18">
        <f>F21+G21+E21</f>
        <v>-68.55</v>
      </c>
      <c r="J21" s="18">
        <f>AVERAGE(I18:I21)</f>
        <v>-93.34999999999999</v>
      </c>
      <c r="K21" s="18">
        <f>-(H21-E21)+K20</f>
        <v>-2146.2</v>
      </c>
    </row>
    <row r="22" ht="20.05" customHeight="1">
      <c r="B22" s="32"/>
      <c r="C22" s="17">
        <v>1735</v>
      </c>
      <c r="D22" s="18">
        <v>-104.2</v>
      </c>
      <c r="E22" s="18">
        <v>-6.25</v>
      </c>
      <c r="F22" s="18">
        <v>159</v>
      </c>
      <c r="G22" s="18">
        <v>-102</v>
      </c>
      <c r="H22" s="18">
        <v>-21</v>
      </c>
      <c r="I22" s="18">
        <f>F22+G22+E22</f>
        <v>50.75</v>
      </c>
      <c r="J22" s="18">
        <f>AVERAGE(I19:I22)</f>
        <v>-64.4375</v>
      </c>
      <c r="K22" s="18">
        <f>-(H22-E22)+K21</f>
        <v>-2131.45</v>
      </c>
    </row>
    <row r="23" ht="20.05" customHeight="1">
      <c r="B23" s="32"/>
      <c r="C23" s="17">
        <v>1929.2</v>
      </c>
      <c r="D23" s="18">
        <v>-142.1</v>
      </c>
      <c r="E23" s="18">
        <v>-6.25</v>
      </c>
      <c r="F23" s="18">
        <v>294.5</v>
      </c>
      <c r="G23" s="18">
        <v>-141</v>
      </c>
      <c r="H23" s="18">
        <v>-1.9</v>
      </c>
      <c r="I23" s="18">
        <f>F23+G23+E23</f>
        <v>147.25</v>
      </c>
      <c r="J23" s="18">
        <f>AVERAGE(I20:I23)</f>
        <v>24.375</v>
      </c>
      <c r="K23" s="18">
        <f>-(H23-E23)+K22</f>
        <v>-2135.8</v>
      </c>
    </row>
    <row r="24" ht="20.05" customHeight="1">
      <c r="B24" s="33">
        <v>2020</v>
      </c>
      <c r="C24" s="17">
        <v>2011</v>
      </c>
      <c r="D24" s="18">
        <v>-103</v>
      </c>
      <c r="E24" s="18">
        <v>-21.5</v>
      </c>
      <c r="F24" s="18">
        <v>417</v>
      </c>
      <c r="G24" s="18">
        <v>-122.9</v>
      </c>
      <c r="H24" s="18">
        <v>-110.9</v>
      </c>
      <c r="I24" s="18">
        <f>F24+G24+E24</f>
        <v>272.6</v>
      </c>
      <c r="J24" s="18">
        <f>AVERAGE(I21:I24)</f>
        <v>100.5125</v>
      </c>
      <c r="K24" s="18">
        <f>-(H24-E24)+K23</f>
        <v>-2046.4</v>
      </c>
    </row>
    <row r="25" ht="20.05" customHeight="1">
      <c r="B25" s="32"/>
      <c r="C25" s="17">
        <v>1469</v>
      </c>
      <c r="D25" s="18">
        <v>-42</v>
      </c>
      <c r="E25" s="18">
        <v>-21.5</v>
      </c>
      <c r="F25" s="18">
        <v>25</v>
      </c>
      <c r="G25" s="18">
        <v>-50.1</v>
      </c>
      <c r="H25" s="18">
        <v>-19.1</v>
      </c>
      <c r="I25" s="18">
        <f>F25+G25+E25</f>
        <v>-46.6</v>
      </c>
      <c r="J25" s="18">
        <f>AVERAGE(I22:I25)</f>
        <v>106</v>
      </c>
      <c r="K25" s="18">
        <f>-(H25-E25)+K24</f>
        <v>-2048.8</v>
      </c>
    </row>
    <row r="26" ht="20.05" customHeight="1">
      <c r="B26" s="32"/>
      <c r="C26" s="17">
        <f>5259.8-SUM(C24:C25)</f>
        <v>1779.8</v>
      </c>
      <c r="D26" s="18">
        <v>-88.09999999999999</v>
      </c>
      <c r="E26" s="18">
        <v>-21.5</v>
      </c>
      <c r="F26" s="18">
        <f>873.6-SUM(F24:F25)</f>
        <v>431.6</v>
      </c>
      <c r="G26" s="18">
        <f>-176.9-SUM(G24:G25)</f>
        <v>-3.9</v>
      </c>
      <c r="H26" s="18">
        <f>-310.7-SUM(H24:H25)</f>
        <v>-180.7</v>
      </c>
      <c r="I26" s="18">
        <f>F26+G26+E26</f>
        <v>406.2</v>
      </c>
      <c r="J26" s="18">
        <f>AVERAGE(I23:I26)</f>
        <v>194.8625</v>
      </c>
      <c r="K26" s="18">
        <f>-(H26-E26)+K25</f>
        <v>-1889.6</v>
      </c>
    </row>
    <row r="27" ht="20.05" customHeight="1">
      <c r="B27" s="32"/>
      <c r="C27" s="17">
        <f>7100.5-SUM(C24:C26)</f>
        <v>1840.7</v>
      </c>
      <c r="D27" s="18">
        <v>-25.5</v>
      </c>
      <c r="E27" s="18">
        <v>-21.5</v>
      </c>
      <c r="F27" s="18">
        <f>1336.6-SUM(F24:F26)</f>
        <v>463</v>
      </c>
      <c r="G27" s="18">
        <f>-281.7-SUM(G24:G26)</f>
        <v>-104.8</v>
      </c>
      <c r="H27" s="18">
        <f>-462.2-SUM(H24:H26)</f>
        <v>-151.5</v>
      </c>
      <c r="I27" s="18">
        <f>F27+G27+E27</f>
        <v>336.7</v>
      </c>
      <c r="J27" s="18">
        <f>AVERAGE(I24:I27)</f>
        <v>242.225</v>
      </c>
      <c r="K27" s="18">
        <f>-(H27-E27)+K26</f>
        <v>-1759.6</v>
      </c>
    </row>
    <row r="28" ht="20.05" customHeight="1">
      <c r="B28" s="33">
        <v>2021</v>
      </c>
      <c r="C28" s="17">
        <f>1659.2</f>
        <v>1659.2</v>
      </c>
      <c r="D28" s="18">
        <v>-103.7</v>
      </c>
      <c r="E28" s="18">
        <v>-11.5</v>
      </c>
      <c r="F28" s="18">
        <v>622.2</v>
      </c>
      <c r="G28" s="18">
        <v>-112.2</v>
      </c>
      <c r="H28" s="18">
        <f>-292</f>
        <v>-292</v>
      </c>
      <c r="I28" s="18">
        <f>F28+G28+E28</f>
        <v>498.5</v>
      </c>
      <c r="J28" s="18">
        <f>AVERAGE(I25:I28)</f>
        <v>298.7</v>
      </c>
      <c r="K28" s="18">
        <f>-(H28-E28)+K27</f>
        <v>-1479.1</v>
      </c>
    </row>
    <row r="29" ht="20.05" customHeight="1">
      <c r="B29" s="32"/>
      <c r="C29" s="17">
        <f>4097.5-C28</f>
        <v>2438.3</v>
      </c>
      <c r="D29" s="18">
        <f>-166.1-D28</f>
        <v>-62.4</v>
      </c>
      <c r="E29" s="18">
        <f>-193.2-E28</f>
        <v>-181.7</v>
      </c>
      <c r="F29" s="18">
        <f>465.6-F28</f>
        <v>-156.6</v>
      </c>
      <c r="G29" s="18">
        <f>-204.1-G28</f>
        <v>-91.90000000000001</v>
      </c>
      <c r="H29" s="18">
        <f>-320-H28</f>
        <v>-28</v>
      </c>
      <c r="I29" s="18">
        <f>F29+G29+E29</f>
        <v>-430.2</v>
      </c>
      <c r="J29" s="18">
        <f>AVERAGE(I26:I29)</f>
        <v>202.8</v>
      </c>
      <c r="K29" s="18">
        <f>-(H29-E29)+K28</f>
        <v>-1632.8</v>
      </c>
    </row>
    <row r="30" ht="20.05" customHeight="1">
      <c r="B30" s="32"/>
      <c r="C30" s="17">
        <f>5166.4-SUM(C28:C29)</f>
        <v>1068.9</v>
      </c>
      <c r="D30" s="18">
        <f>-297.2-SUM(D28:D29)</f>
        <v>-131.1</v>
      </c>
      <c r="E30" s="18">
        <f>-34.1-SUM(E28:E29)</f>
        <v>159.1</v>
      </c>
      <c r="F30" s="18">
        <f>651.2-SUM(F28:F29)</f>
        <v>185.6</v>
      </c>
      <c r="G30" s="18">
        <f>-339.4-SUM(G28:G29)</f>
        <v>-135.3</v>
      </c>
      <c r="H30" s="18">
        <f>-247-SUM(H28:H29)</f>
        <v>73</v>
      </c>
      <c r="I30" s="18">
        <f>F30+G30+E30</f>
        <v>209.4</v>
      </c>
      <c r="J30" s="18">
        <f>AVERAGE(I27:I30)</f>
        <v>153.6</v>
      </c>
      <c r="K30" s="18">
        <f>-(H30-E30)+K29</f>
        <v>-1546.7</v>
      </c>
    </row>
    <row r="31" ht="20.05" customHeight="1">
      <c r="B31" s="32"/>
      <c r="C31" s="17"/>
      <c r="D31" s="18"/>
      <c r="E31" s="18"/>
      <c r="F31" s="18"/>
      <c r="G31" s="18"/>
      <c r="H31" s="18"/>
      <c r="I31" s="18"/>
      <c r="J31" s="18">
        <f>SUM('Model'!F9:F11)</f>
        <v>348.93123152</v>
      </c>
      <c r="K31" s="18">
        <f>'Model'!F33</f>
        <v>-775.01667249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00781" style="36" customWidth="1"/>
    <col min="2" max="2" width="7.42969" style="36" customWidth="1"/>
    <col min="3" max="11" width="10.8125" style="36" customWidth="1"/>
    <col min="12" max="16384" width="16.3516" style="36" customWidth="1"/>
  </cols>
  <sheetData>
    <row r="1" ht="20.6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53</v>
      </c>
      <c r="D3" t="s" s="4">
        <v>54</v>
      </c>
      <c r="E3" t="s" s="4">
        <v>55</v>
      </c>
      <c r="F3" t="s" s="4">
        <v>24</v>
      </c>
      <c r="G3" t="s" s="4">
        <v>12</v>
      </c>
      <c r="H3" t="s" s="4">
        <v>13</v>
      </c>
      <c r="I3" t="s" s="4">
        <v>26</v>
      </c>
      <c r="J3" t="s" s="4">
        <v>27</v>
      </c>
      <c r="K3" t="s" s="4">
        <v>35</v>
      </c>
    </row>
    <row r="4" ht="20.25" customHeight="1">
      <c r="B4" s="28">
        <v>2015</v>
      </c>
      <c r="C4" s="37">
        <v>232</v>
      </c>
      <c r="D4" s="30">
        <v>2928</v>
      </c>
      <c r="E4" s="30">
        <f>D4-C4</f>
        <v>2696</v>
      </c>
      <c r="F4" s="38">
        <v>1112</v>
      </c>
      <c r="G4" s="30">
        <v>1249</v>
      </c>
      <c r="H4" s="30">
        <v>1679</v>
      </c>
      <c r="I4" s="30">
        <f>G4+H4-C4-E4</f>
        <v>0</v>
      </c>
      <c r="J4" s="30">
        <f>C4-G4</f>
        <v>-1017</v>
      </c>
      <c r="K4" s="30"/>
    </row>
    <row r="5" ht="20.05" customHeight="1">
      <c r="B5" s="32"/>
      <c r="C5" s="17">
        <v>217</v>
      </c>
      <c r="D5" s="18">
        <v>2978</v>
      </c>
      <c r="E5" s="18">
        <f>D5-C5</f>
        <v>2761</v>
      </c>
      <c r="F5" s="18">
        <v>1195</v>
      </c>
      <c r="G5" s="18">
        <v>1279</v>
      </c>
      <c r="H5" s="18">
        <v>1699</v>
      </c>
      <c r="I5" s="18">
        <f>G5+H5-C5-E5</f>
        <v>0</v>
      </c>
      <c r="J5" s="18">
        <f>C5-G5</f>
        <v>-1062</v>
      </c>
      <c r="K5" s="18"/>
    </row>
    <row r="6" ht="20.05" customHeight="1">
      <c r="B6" s="32"/>
      <c r="C6" s="17">
        <v>180</v>
      </c>
      <c r="D6" s="18">
        <v>3013</v>
      </c>
      <c r="E6" s="18">
        <f>D6-C6</f>
        <v>2833</v>
      </c>
      <c r="F6" s="18">
        <v>1279</v>
      </c>
      <c r="G6" s="18">
        <v>1310</v>
      </c>
      <c r="H6" s="18">
        <v>1704</v>
      </c>
      <c r="I6" s="18">
        <f>G6+H6-C6-E6</f>
        <v>1</v>
      </c>
      <c r="J6" s="18">
        <f>C6-G6</f>
        <v>-1130</v>
      </c>
      <c r="K6" s="18"/>
    </row>
    <row r="7" ht="20.05" customHeight="1">
      <c r="B7" s="32"/>
      <c r="C7" s="17">
        <v>160</v>
      </c>
      <c r="D7" s="18">
        <v>2986</v>
      </c>
      <c r="E7" s="18">
        <f>D7-C7</f>
        <v>2826</v>
      </c>
      <c r="F7" s="18">
        <v>1365</v>
      </c>
      <c r="G7" s="18">
        <v>1247</v>
      </c>
      <c r="H7" s="18">
        <v>1739</v>
      </c>
      <c r="I7" s="18">
        <f>G7+H7-C7-E7</f>
        <v>0</v>
      </c>
      <c r="J7" s="18">
        <f>C7-G7</f>
        <v>-1087</v>
      </c>
      <c r="K7" s="18"/>
    </row>
    <row r="8" ht="20.05" customHeight="1">
      <c r="B8" s="33">
        <v>2016</v>
      </c>
      <c r="C8" s="23">
        <v>180</v>
      </c>
      <c r="D8" s="18">
        <v>3162</v>
      </c>
      <c r="E8" s="18">
        <f>D8-C8</f>
        <v>2982</v>
      </c>
      <c r="F8" s="24">
        <v>1451</v>
      </c>
      <c r="G8" s="18">
        <v>1379</v>
      </c>
      <c r="H8" s="18">
        <v>1783</v>
      </c>
      <c r="I8" s="18">
        <f>G8+H8-C8-E8</f>
        <v>0</v>
      </c>
      <c r="J8" s="18">
        <f>C8-G8</f>
        <v>-1199</v>
      </c>
      <c r="K8" s="18"/>
    </row>
    <row r="9" ht="20.05" customHeight="1">
      <c r="B9" s="32"/>
      <c r="C9" s="17">
        <v>165</v>
      </c>
      <c r="D9" s="18">
        <v>3250</v>
      </c>
      <c r="E9" s="18">
        <f>D9-C9</f>
        <v>3085</v>
      </c>
      <c r="F9" s="18">
        <v>1541</v>
      </c>
      <c r="G9" s="18">
        <v>1432</v>
      </c>
      <c r="H9" s="18">
        <v>1818</v>
      </c>
      <c r="I9" s="18">
        <f>G9+H9-C9-E9</f>
        <v>0</v>
      </c>
      <c r="J9" s="18">
        <f>C9-G9</f>
        <v>-1267</v>
      </c>
      <c r="K9" s="18"/>
    </row>
    <row r="10" ht="20.05" customHeight="1">
      <c r="B10" s="32"/>
      <c r="C10" s="17">
        <v>106</v>
      </c>
      <c r="D10" s="18">
        <v>3306</v>
      </c>
      <c r="E10" s="18">
        <f>D10-C10</f>
        <v>3200</v>
      </c>
      <c r="F10" s="18">
        <v>1633</v>
      </c>
      <c r="G10" s="18">
        <v>1471</v>
      </c>
      <c r="H10" s="18">
        <v>1834</v>
      </c>
      <c r="I10" s="18">
        <f>G10+H10-C10-E10</f>
        <v>-1</v>
      </c>
      <c r="J10" s="18">
        <f>C10-G10</f>
        <v>-1365</v>
      </c>
      <c r="K10" s="18"/>
    </row>
    <row r="11" ht="20.05" customHeight="1">
      <c r="B11" s="32"/>
      <c r="C11" s="17">
        <v>740</v>
      </c>
      <c r="D11" s="18">
        <v>4216</v>
      </c>
      <c r="E11" s="18">
        <f>D11-C11</f>
        <v>3476</v>
      </c>
      <c r="F11" s="18">
        <v>1723</v>
      </c>
      <c r="G11" s="18">
        <v>1087</v>
      </c>
      <c r="H11" s="18">
        <v>3129</v>
      </c>
      <c r="I11" s="18">
        <f>G11+H11-C11-E11</f>
        <v>0</v>
      </c>
      <c r="J11" s="18">
        <f>C11-G11</f>
        <v>-347</v>
      </c>
      <c r="K11" s="18"/>
    </row>
    <row r="12" ht="20.05" customHeight="1">
      <c r="B12" s="33">
        <v>2017</v>
      </c>
      <c r="C12" s="17">
        <v>663</v>
      </c>
      <c r="D12" s="18">
        <v>4374</v>
      </c>
      <c r="E12" s="18">
        <f>D12-C12</f>
        <v>3711</v>
      </c>
      <c r="F12" s="18">
        <v>1828</v>
      </c>
      <c r="G12" s="18">
        <v>1200</v>
      </c>
      <c r="H12" s="18">
        <v>3174</v>
      </c>
      <c r="I12" s="18">
        <f>G12+H12-C12-E12</f>
        <v>0</v>
      </c>
      <c r="J12" s="18">
        <f>C12-G12</f>
        <v>-537</v>
      </c>
      <c r="K12" s="18"/>
    </row>
    <row r="13" ht="20.05" customHeight="1">
      <c r="B13" s="32"/>
      <c r="C13" s="17">
        <v>734</v>
      </c>
      <c r="D13" s="18">
        <v>4340</v>
      </c>
      <c r="E13" s="18">
        <f>D13-C13</f>
        <v>3606</v>
      </c>
      <c r="F13" s="18">
        <v>1937</v>
      </c>
      <c r="G13" s="18">
        <v>1181</v>
      </c>
      <c r="H13" s="18">
        <v>3159</v>
      </c>
      <c r="I13" s="18">
        <f>G13+H13-C13-E13</f>
        <v>0</v>
      </c>
      <c r="J13" s="18">
        <f>C13-G13</f>
        <v>-447</v>
      </c>
      <c r="K13" s="18"/>
    </row>
    <row r="14" ht="20.05" customHeight="1">
      <c r="B14" s="32"/>
      <c r="C14" s="17">
        <v>204</v>
      </c>
      <c r="D14" s="18">
        <v>4520</v>
      </c>
      <c r="E14" s="18">
        <f>D14-C14</f>
        <v>4316</v>
      </c>
      <c r="F14" s="18">
        <v>2055</v>
      </c>
      <c r="G14" s="18">
        <v>1324</v>
      </c>
      <c r="H14" s="18">
        <v>3196</v>
      </c>
      <c r="I14" s="18">
        <f>G14+H14-C14-E14</f>
        <v>0</v>
      </c>
      <c r="J14" s="18">
        <f>C14-G14</f>
        <v>-1120</v>
      </c>
      <c r="K14" s="18"/>
    </row>
    <row r="15" ht="20.05" customHeight="1">
      <c r="B15" s="32"/>
      <c r="C15" s="17">
        <v>930</v>
      </c>
      <c r="D15" s="18">
        <v>7596</v>
      </c>
      <c r="E15" s="18">
        <f>D15-C15</f>
        <v>6666</v>
      </c>
      <c r="F15" s="18">
        <v>2150</v>
      </c>
      <c r="G15" s="18">
        <v>1283</v>
      </c>
      <c r="H15" s="18">
        <v>6313</v>
      </c>
      <c r="I15" s="18">
        <f>G15+H15-C15-E15</f>
        <v>0</v>
      </c>
      <c r="J15" s="18">
        <f>C15-G15</f>
        <v>-353</v>
      </c>
      <c r="K15" s="18"/>
    </row>
    <row r="16" ht="20.05" customHeight="1">
      <c r="B16" s="33">
        <v>2018</v>
      </c>
      <c r="C16" s="17">
        <v>771</v>
      </c>
      <c r="D16" s="18">
        <v>7661</v>
      </c>
      <c r="E16" s="18">
        <f>D16-C16</f>
        <v>6890</v>
      </c>
      <c r="F16" s="18">
        <v>2261</v>
      </c>
      <c r="G16" s="18">
        <v>1343</v>
      </c>
      <c r="H16" s="18">
        <v>6317</v>
      </c>
      <c r="I16" s="18">
        <f>G16+H16-C16-E16</f>
        <v>-1</v>
      </c>
      <c r="J16" s="18">
        <f>C16-G16</f>
        <v>-572</v>
      </c>
      <c r="K16" s="18"/>
    </row>
    <row r="17" ht="20.05" customHeight="1">
      <c r="B17" s="32"/>
      <c r="C17" s="17">
        <v>436</v>
      </c>
      <c r="D17" s="18">
        <v>7660</v>
      </c>
      <c r="E17" s="18">
        <f>D17-C17</f>
        <v>7224</v>
      </c>
      <c r="F17" s="18">
        <v>2375</v>
      </c>
      <c r="G17" s="18">
        <v>1404</v>
      </c>
      <c r="H17" s="18">
        <v>6256</v>
      </c>
      <c r="I17" s="18">
        <f>G17+H17-C17-E17</f>
        <v>0</v>
      </c>
      <c r="J17" s="18">
        <f>C17-G17</f>
        <v>-968</v>
      </c>
      <c r="K17" s="18"/>
    </row>
    <row r="18" ht="20.05" customHeight="1">
      <c r="B18" s="32"/>
      <c r="C18" s="17">
        <v>358</v>
      </c>
      <c r="D18" s="18">
        <v>7701</v>
      </c>
      <c r="E18" s="18">
        <f>D18-C18</f>
        <v>7343</v>
      </c>
      <c r="F18" s="18">
        <v>2451</v>
      </c>
      <c r="G18" s="18">
        <v>1390</v>
      </c>
      <c r="H18" s="18">
        <v>6311</v>
      </c>
      <c r="I18" s="18">
        <f>G18+H18-C18-E18</f>
        <v>0</v>
      </c>
      <c r="J18" s="18">
        <f>C18-G18</f>
        <v>-1032</v>
      </c>
      <c r="K18" s="18"/>
    </row>
    <row r="19" ht="20.05" customHeight="1">
      <c r="B19" s="32"/>
      <c r="C19" s="17">
        <v>216</v>
      </c>
      <c r="D19" s="18">
        <v>7694</v>
      </c>
      <c r="E19" s="18">
        <f>D19-C19</f>
        <v>7478</v>
      </c>
      <c r="F19" s="18">
        <v>2563</v>
      </c>
      <c r="G19" s="18">
        <v>1378</v>
      </c>
      <c r="H19" s="18">
        <v>6316</v>
      </c>
      <c r="I19" s="18">
        <f>G19+H19-C19-E19</f>
        <v>0</v>
      </c>
      <c r="J19" s="18">
        <f>C19-G19</f>
        <v>-1162</v>
      </c>
      <c r="K19" s="24"/>
    </row>
    <row r="20" ht="20.05" customHeight="1">
      <c r="B20" s="33">
        <v>2019</v>
      </c>
      <c r="C20" s="17">
        <v>142.2</v>
      </c>
      <c r="D20" s="18">
        <v>7898.7</v>
      </c>
      <c r="E20" s="18">
        <f>D20-C20</f>
        <v>7756.5</v>
      </c>
      <c r="F20" s="18">
        <v>2720.2</v>
      </c>
      <c r="G20" s="18">
        <v>1555.3</v>
      </c>
      <c r="H20" s="18">
        <v>6343.4</v>
      </c>
      <c r="I20" s="18">
        <f>G20+H20-C20-E20</f>
        <v>0</v>
      </c>
      <c r="J20" s="18">
        <f>C20-G20</f>
        <v>-1413.1</v>
      </c>
      <c r="K20" s="24"/>
    </row>
    <row r="21" ht="20.05" customHeight="1">
      <c r="B21" s="32"/>
      <c r="C21" s="17">
        <v>127</v>
      </c>
      <c r="D21" s="18">
        <v>7854</v>
      </c>
      <c r="E21" s="18">
        <f>D21-C21</f>
        <v>7727</v>
      </c>
      <c r="F21" s="18">
        <v>2848</v>
      </c>
      <c r="G21" s="18">
        <v>1508</v>
      </c>
      <c r="H21" s="18">
        <v>6346</v>
      </c>
      <c r="I21" s="18">
        <f>G21+H21-C21-E21</f>
        <v>0</v>
      </c>
      <c r="J21" s="18">
        <f>C21-G21</f>
        <v>-1381</v>
      </c>
      <c r="K21" s="24"/>
    </row>
    <row r="22" ht="20.05" customHeight="1">
      <c r="B22" s="32"/>
      <c r="C22" s="17">
        <v>163</v>
      </c>
      <c r="D22" s="18">
        <v>8005</v>
      </c>
      <c r="E22" s="18">
        <f>D22-C22</f>
        <v>7842</v>
      </c>
      <c r="F22" s="18">
        <v>2974</v>
      </c>
      <c r="G22" s="18">
        <v>1615</v>
      </c>
      <c r="H22" s="18">
        <v>6389</v>
      </c>
      <c r="I22" s="18">
        <f>G22+H22-C22-E22</f>
        <v>-1</v>
      </c>
      <c r="J22" s="18">
        <f>C22-G22</f>
        <v>-1452</v>
      </c>
      <c r="K22" s="24"/>
    </row>
    <row r="23" ht="20.05" customHeight="1">
      <c r="B23" s="32"/>
      <c r="C23" s="17">
        <v>314</v>
      </c>
      <c r="D23" s="18">
        <v>7742</v>
      </c>
      <c r="E23" s="18">
        <f>D23-C23</f>
        <v>7428</v>
      </c>
      <c r="F23" s="18">
        <f>3128+91</f>
        <v>3219</v>
      </c>
      <c r="G23" s="18">
        <v>1754</v>
      </c>
      <c r="H23" s="18">
        <v>5988</v>
      </c>
      <c r="I23" s="18">
        <f>G23+H23-C23-E23</f>
        <v>0</v>
      </c>
      <c r="J23" s="18">
        <f>C23-G23</f>
        <v>-1440</v>
      </c>
      <c r="K23" s="24"/>
    </row>
    <row r="24" ht="20.05" customHeight="1">
      <c r="B24" s="33">
        <v>2020</v>
      </c>
      <c r="C24" s="17">
        <v>500</v>
      </c>
      <c r="D24" s="18">
        <v>8924</v>
      </c>
      <c r="E24" s="18">
        <f>D24-C24</f>
        <v>8424</v>
      </c>
      <c r="F24" s="18">
        <v>3304</v>
      </c>
      <c r="G24" s="18">
        <v>2952</v>
      </c>
      <c r="H24" s="18">
        <v>5971</v>
      </c>
      <c r="I24" s="18">
        <f>G24+H24-C24-E24</f>
        <v>-1</v>
      </c>
      <c r="J24" s="18">
        <f>C24-G24</f>
        <v>-2452</v>
      </c>
      <c r="K24" s="24"/>
    </row>
    <row r="25" ht="20.05" customHeight="1">
      <c r="B25" s="32"/>
      <c r="C25" s="17">
        <v>453</v>
      </c>
      <c r="D25" s="18">
        <v>8628</v>
      </c>
      <c r="E25" s="18">
        <f>D25-C25</f>
        <v>8175</v>
      </c>
      <c r="F25" s="18">
        <f>86+3490</f>
        <v>3576</v>
      </c>
      <c r="G25" s="18">
        <v>2805</v>
      </c>
      <c r="H25" s="18">
        <v>5823</v>
      </c>
      <c r="I25" s="18">
        <f>G25+H25-C25-E25</f>
        <v>0</v>
      </c>
      <c r="J25" s="18">
        <f>C25-G25</f>
        <v>-2352</v>
      </c>
      <c r="K25" s="24"/>
    </row>
    <row r="26" ht="20.05" customHeight="1">
      <c r="B26" s="32"/>
      <c r="C26" s="17">
        <v>702</v>
      </c>
      <c r="D26" s="18">
        <v>8711</v>
      </c>
      <c r="E26" s="18">
        <f>D26-C26</f>
        <v>8009</v>
      </c>
      <c r="F26" s="18">
        <f>3676+7+106</f>
        <v>3789</v>
      </c>
      <c r="G26" s="18">
        <v>2807</v>
      </c>
      <c r="H26" s="18">
        <v>5904</v>
      </c>
      <c r="I26" s="18">
        <f>G26+H26-C26-E26</f>
        <v>0</v>
      </c>
      <c r="J26" s="18">
        <f>C26-G26</f>
        <v>-2105</v>
      </c>
      <c r="K26" s="24"/>
    </row>
    <row r="27" ht="20.05" customHeight="1">
      <c r="B27" s="32"/>
      <c r="C27" s="17">
        <v>907</v>
      </c>
      <c r="D27" s="18">
        <v>8428</v>
      </c>
      <c r="E27" s="18">
        <f>D27-C27</f>
        <v>7521</v>
      </c>
      <c r="F27" s="18">
        <f>3896+7+172+58</f>
        <v>4133</v>
      </c>
      <c r="G27" s="18">
        <v>2409</v>
      </c>
      <c r="H27" s="18">
        <v>6018</v>
      </c>
      <c r="I27" s="18">
        <f>G27+H27-C27-E27</f>
        <v>-1</v>
      </c>
      <c r="J27" s="18">
        <f>C27-G27</f>
        <v>-1502</v>
      </c>
      <c r="K27" s="24"/>
    </row>
    <row r="28" ht="20.05" customHeight="1">
      <c r="B28" s="33">
        <v>2021</v>
      </c>
      <c r="C28" s="17">
        <v>1126</v>
      </c>
      <c r="D28" s="18">
        <v>8874</v>
      </c>
      <c r="E28" s="18">
        <f>D28-C28</f>
        <v>7748</v>
      </c>
      <c r="F28" s="18">
        <f>F27+'Sales'!E28</f>
        <v>4390</v>
      </c>
      <c r="G28" s="18">
        <v>2705</v>
      </c>
      <c r="H28" s="18">
        <v>6169</v>
      </c>
      <c r="I28" s="18">
        <f>G28+H28-C28-E28</f>
        <v>0</v>
      </c>
      <c r="J28" s="18">
        <f>C28-G28</f>
        <v>-1579</v>
      </c>
      <c r="K28" s="18"/>
    </row>
    <row r="29" ht="20.05" customHeight="1">
      <c r="B29" s="32"/>
      <c r="C29" s="17">
        <v>850</v>
      </c>
      <c r="D29" s="18">
        <v>8707</v>
      </c>
      <c r="E29" s="18">
        <f>D29-C29</f>
        <v>7857</v>
      </c>
      <c r="F29" s="18">
        <f>4339+184</f>
        <v>4523</v>
      </c>
      <c r="G29" s="18">
        <v>2592</v>
      </c>
      <c r="H29" s="18">
        <v>6115</v>
      </c>
      <c r="I29" s="18">
        <f>G29+H29-C29-E29</f>
        <v>0</v>
      </c>
      <c r="J29" s="18">
        <f>C29-G29</f>
        <v>-1742</v>
      </c>
      <c r="K29" s="24"/>
    </row>
    <row r="30" ht="20.05" customHeight="1">
      <c r="B30" s="32"/>
      <c r="C30" s="17">
        <v>973</v>
      </c>
      <c r="D30" s="18">
        <v>8927</v>
      </c>
      <c r="E30" s="18">
        <f>D30-C30</f>
        <v>7954</v>
      </c>
      <c r="F30" s="18">
        <f>4567+172</f>
        <v>4739</v>
      </c>
      <c r="G30" s="18">
        <v>2553</v>
      </c>
      <c r="H30" s="18">
        <v>6374</v>
      </c>
      <c r="I30" s="18">
        <f>G30+H30-C30-E30</f>
        <v>0</v>
      </c>
      <c r="J30" s="18">
        <f>C30-G30</f>
        <v>-1580</v>
      </c>
      <c r="K30" s="24">
        <f>J30</f>
        <v>-1580</v>
      </c>
    </row>
    <row r="31" ht="20.05" customHeight="1">
      <c r="B31" s="32"/>
      <c r="C31" s="17"/>
      <c r="D31" s="18"/>
      <c r="E31" s="18"/>
      <c r="F31" s="18"/>
      <c r="G31" s="18"/>
      <c r="H31" s="18"/>
      <c r="I31" s="18"/>
      <c r="J31" s="18"/>
      <c r="K31" s="24">
        <f>'Model'!F31</f>
        <v>-601.48221624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D97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7.41406" style="39" customWidth="1"/>
    <col min="2" max="2" width="5.26562" style="39" customWidth="1"/>
    <col min="3" max="4" width="8.32031" style="39" customWidth="1"/>
    <col min="5" max="16384" width="16.3516" style="39" customWidth="1"/>
  </cols>
  <sheetData>
    <row r="1" ht="27.65" customHeight="1">
      <c r="B1" t="s" s="2">
        <v>56</v>
      </c>
      <c r="C1" s="2"/>
      <c r="D1" s="2"/>
    </row>
    <row r="2" ht="20.25" customHeight="1">
      <c r="B2" s="5"/>
      <c r="C2" t="s" s="40">
        <v>57</v>
      </c>
      <c r="D2" t="s" s="40">
        <v>58</v>
      </c>
    </row>
    <row r="3" ht="20.25" customHeight="1">
      <c r="B3" s="28">
        <v>2014</v>
      </c>
      <c r="C3" s="29">
        <v>9414</v>
      </c>
      <c r="D3" s="30"/>
    </row>
    <row r="4" ht="20.05" customHeight="1">
      <c r="B4" s="32"/>
      <c r="C4" s="17">
        <v>10270</v>
      </c>
      <c r="D4" s="18"/>
    </row>
    <row r="5" ht="20.05" customHeight="1">
      <c r="B5" s="32"/>
      <c r="C5" s="17">
        <v>10074</v>
      </c>
      <c r="D5" s="18"/>
    </row>
    <row r="6" ht="20.05" customHeight="1">
      <c r="B6" s="32"/>
      <c r="C6" s="17">
        <v>10759</v>
      </c>
      <c r="D6" s="18"/>
    </row>
    <row r="7" ht="20.05" customHeight="1">
      <c r="B7" s="32"/>
      <c r="C7" s="17">
        <v>14672</v>
      </c>
      <c r="D7" s="18"/>
    </row>
    <row r="8" ht="20.05" customHeight="1">
      <c r="B8" s="32"/>
      <c r="C8" s="17">
        <v>14134</v>
      </c>
      <c r="D8" s="18"/>
    </row>
    <row r="9" ht="20.05" customHeight="1">
      <c r="B9" s="32"/>
      <c r="C9" s="17">
        <v>13987</v>
      </c>
      <c r="D9" s="18"/>
    </row>
    <row r="10" ht="20.05" customHeight="1">
      <c r="B10" s="32"/>
      <c r="C10" s="17">
        <v>14745</v>
      </c>
      <c r="D10" s="18"/>
    </row>
    <row r="11" ht="20.05" customHeight="1">
      <c r="B11" s="32"/>
      <c r="C11" s="17">
        <v>14696</v>
      </c>
      <c r="D11" s="18"/>
    </row>
    <row r="12" ht="20.05" customHeight="1">
      <c r="B12" s="32"/>
      <c r="C12" s="17">
        <v>13473</v>
      </c>
      <c r="D12" s="18"/>
    </row>
    <row r="13" ht="20.05" customHeight="1">
      <c r="B13" s="32"/>
      <c r="C13" s="17">
        <v>13327</v>
      </c>
      <c r="D13" s="18"/>
    </row>
    <row r="14" ht="20.05" customHeight="1">
      <c r="B14" s="32"/>
      <c r="C14" s="17">
        <v>13400</v>
      </c>
      <c r="D14" s="18"/>
    </row>
    <row r="15" ht="20.05" customHeight="1">
      <c r="B15" s="33">
        <v>2015</v>
      </c>
      <c r="C15" s="17">
        <v>13107</v>
      </c>
      <c r="D15" s="18"/>
    </row>
    <row r="16" ht="20.05" customHeight="1">
      <c r="B16" s="32"/>
      <c r="C16" s="17">
        <v>11957</v>
      </c>
      <c r="D16" s="18"/>
    </row>
    <row r="17" ht="20.05" customHeight="1">
      <c r="B17" s="32"/>
      <c r="C17" s="17">
        <v>13107</v>
      </c>
      <c r="D17" s="18"/>
    </row>
    <row r="18" ht="20.05" customHeight="1">
      <c r="B18" s="32"/>
      <c r="C18" s="17">
        <v>13889</v>
      </c>
      <c r="D18" s="18"/>
    </row>
    <row r="19" ht="20.05" customHeight="1">
      <c r="B19" s="32"/>
      <c r="C19" s="17">
        <v>13791</v>
      </c>
      <c r="D19" s="18"/>
    </row>
    <row r="20" ht="20.05" customHeight="1">
      <c r="B20" s="32"/>
      <c r="C20" s="17">
        <v>14085</v>
      </c>
      <c r="D20" s="18"/>
    </row>
    <row r="21" ht="20.05" customHeight="1">
      <c r="B21" s="32"/>
      <c r="C21" s="17">
        <v>16188</v>
      </c>
      <c r="D21" s="18"/>
    </row>
    <row r="22" ht="20.05" customHeight="1">
      <c r="B22" s="32"/>
      <c r="C22" s="17">
        <v>14769</v>
      </c>
      <c r="D22" s="18"/>
    </row>
    <row r="23" ht="20.05" customHeight="1">
      <c r="B23" s="32"/>
      <c r="C23" s="17">
        <v>12104</v>
      </c>
      <c r="D23" s="18"/>
    </row>
    <row r="24" ht="20.05" customHeight="1">
      <c r="B24" s="32"/>
      <c r="C24" s="17">
        <v>10661</v>
      </c>
      <c r="D24" s="18"/>
    </row>
    <row r="25" ht="20.05" customHeight="1">
      <c r="B25" s="32"/>
      <c r="C25" s="17">
        <v>9145</v>
      </c>
      <c r="D25" s="18"/>
    </row>
    <row r="26" ht="20.05" customHeight="1">
      <c r="B26" s="32"/>
      <c r="C26" s="17">
        <v>9585</v>
      </c>
      <c r="D26" s="18"/>
    </row>
    <row r="27" ht="20.05" customHeight="1">
      <c r="B27" s="33">
        <v>2016</v>
      </c>
      <c r="C27" s="17">
        <v>8827</v>
      </c>
      <c r="D27" s="18"/>
    </row>
    <row r="28" ht="20.05" customHeight="1">
      <c r="B28" s="32"/>
      <c r="C28" s="17">
        <v>7752</v>
      </c>
      <c r="D28" s="18"/>
    </row>
    <row r="29" ht="20.05" customHeight="1">
      <c r="B29" s="32"/>
      <c r="C29" s="17">
        <v>7140</v>
      </c>
      <c r="D29" s="18"/>
    </row>
    <row r="30" ht="20.05" customHeight="1">
      <c r="B30" s="32"/>
      <c r="C30" s="17">
        <v>8265</v>
      </c>
      <c r="D30" s="18"/>
    </row>
    <row r="31" ht="20.05" customHeight="1">
      <c r="B31" s="32"/>
      <c r="C31" s="17">
        <v>9903</v>
      </c>
      <c r="D31" s="18"/>
    </row>
    <row r="32" ht="20.05" customHeight="1">
      <c r="B32" s="32"/>
      <c r="C32" s="17">
        <v>11346</v>
      </c>
      <c r="D32" s="18"/>
    </row>
    <row r="33" ht="20.05" customHeight="1">
      <c r="B33" s="32"/>
      <c r="C33" s="17">
        <v>9561</v>
      </c>
      <c r="D33" s="18"/>
    </row>
    <row r="34" ht="20.05" customHeight="1">
      <c r="B34" s="32"/>
      <c r="C34" s="17">
        <v>11053</v>
      </c>
      <c r="D34" s="18"/>
    </row>
    <row r="35" ht="20.05" customHeight="1">
      <c r="B35" s="32"/>
      <c r="C35" s="17">
        <v>10074</v>
      </c>
      <c r="D35" s="18"/>
    </row>
    <row r="36" ht="20.05" customHeight="1">
      <c r="B36" s="32"/>
      <c r="C36" s="17">
        <v>10148</v>
      </c>
      <c r="D36" s="18"/>
    </row>
    <row r="37" ht="20.05" customHeight="1">
      <c r="B37" s="32"/>
      <c r="C37" s="17">
        <v>10436</v>
      </c>
      <c r="D37" s="18"/>
    </row>
    <row r="38" ht="20.05" customHeight="1">
      <c r="B38" s="32"/>
      <c r="C38" s="17">
        <v>10833</v>
      </c>
      <c r="D38" s="18"/>
    </row>
    <row r="39" ht="20.05" customHeight="1">
      <c r="B39" s="33">
        <v>2017</v>
      </c>
      <c r="C39" s="17">
        <v>11728</v>
      </c>
      <c r="D39" s="18"/>
    </row>
    <row r="40" ht="20.05" customHeight="1">
      <c r="B40" s="32"/>
      <c r="C40" s="17">
        <v>13119</v>
      </c>
      <c r="D40" s="18"/>
    </row>
    <row r="41" ht="20.05" customHeight="1">
      <c r="B41" s="32"/>
      <c r="C41" s="17">
        <v>13914</v>
      </c>
      <c r="D41" s="18"/>
    </row>
    <row r="42" ht="20.05" customHeight="1">
      <c r="B42" s="32"/>
      <c r="C42" s="17">
        <v>13616</v>
      </c>
      <c r="D42" s="18"/>
    </row>
    <row r="43" ht="20.05" customHeight="1">
      <c r="B43" s="32"/>
      <c r="C43" s="17">
        <v>10734</v>
      </c>
      <c r="D43" s="18"/>
    </row>
    <row r="44" ht="20.05" customHeight="1">
      <c r="B44" s="32"/>
      <c r="C44" s="17">
        <v>11231</v>
      </c>
      <c r="D44" s="18"/>
    </row>
    <row r="45" ht="20.05" customHeight="1">
      <c r="B45" s="32"/>
      <c r="C45" s="17">
        <v>9591</v>
      </c>
      <c r="D45" s="18"/>
    </row>
    <row r="46" ht="20.05" customHeight="1">
      <c r="B46" s="32"/>
      <c r="C46" s="17">
        <v>10908</v>
      </c>
      <c r="D46" s="18"/>
    </row>
    <row r="47" ht="20.05" customHeight="1">
      <c r="B47" s="32"/>
      <c r="C47" s="17">
        <v>9939</v>
      </c>
      <c r="D47" s="18"/>
    </row>
    <row r="48" ht="20.05" customHeight="1">
      <c r="B48" s="32"/>
      <c r="C48" s="17">
        <v>9750</v>
      </c>
      <c r="D48" s="18"/>
    </row>
    <row r="49" ht="20.05" customHeight="1">
      <c r="B49" s="32"/>
      <c r="C49" s="17">
        <v>10125</v>
      </c>
      <c r="D49" s="18"/>
    </row>
    <row r="50" ht="20.05" customHeight="1">
      <c r="B50" s="32"/>
      <c r="C50" s="17">
        <v>9575</v>
      </c>
      <c r="D50" s="18"/>
    </row>
    <row r="51" ht="20.05" customHeight="1">
      <c r="B51" s="33">
        <v>2018</v>
      </c>
      <c r="C51" s="17">
        <v>8825</v>
      </c>
      <c r="D51" s="18"/>
    </row>
    <row r="52" ht="20.05" customHeight="1">
      <c r="B52" s="32"/>
      <c r="C52" s="17">
        <v>8550</v>
      </c>
      <c r="D52" s="18"/>
    </row>
    <row r="53" ht="20.05" customHeight="1">
      <c r="B53" s="32"/>
      <c r="C53" s="17">
        <v>8000</v>
      </c>
      <c r="D53" s="18"/>
    </row>
    <row r="54" ht="20.05" customHeight="1">
      <c r="B54" s="32"/>
      <c r="C54" s="17">
        <v>7025</v>
      </c>
      <c r="D54" s="18"/>
    </row>
    <row r="55" ht="20.05" customHeight="1">
      <c r="B55" s="32"/>
      <c r="C55" s="17">
        <v>6975</v>
      </c>
      <c r="D55" s="18"/>
    </row>
    <row r="56" ht="20.05" customHeight="1">
      <c r="B56" s="32"/>
      <c r="C56" s="17">
        <v>5225</v>
      </c>
      <c r="D56" s="18"/>
    </row>
    <row r="57" ht="20.05" customHeight="1">
      <c r="B57" s="32"/>
      <c r="C57" s="17">
        <v>3120</v>
      </c>
      <c r="D57" s="18"/>
    </row>
    <row r="58" ht="20.05" customHeight="1">
      <c r="B58" s="32"/>
      <c r="C58" s="17">
        <v>3100</v>
      </c>
      <c r="D58" s="18"/>
    </row>
    <row r="59" ht="20.05" customHeight="1">
      <c r="B59" s="32"/>
      <c r="C59" s="17">
        <v>2920</v>
      </c>
      <c r="D59" s="18"/>
    </row>
    <row r="60" ht="20.05" customHeight="1">
      <c r="B60" s="32"/>
      <c r="C60" s="17">
        <v>2300</v>
      </c>
      <c r="D60" s="18"/>
    </row>
    <row r="61" ht="20.05" customHeight="1">
      <c r="B61" s="32"/>
      <c r="C61" s="17">
        <v>2960</v>
      </c>
      <c r="D61" s="18"/>
    </row>
    <row r="62" ht="20.05" customHeight="1">
      <c r="B62" s="32"/>
      <c r="C62" s="17">
        <v>3590</v>
      </c>
      <c r="D62" s="18"/>
    </row>
    <row r="63" ht="20.05" customHeight="1">
      <c r="B63" s="33">
        <v>2019</v>
      </c>
      <c r="C63" s="17">
        <v>3220</v>
      </c>
      <c r="D63" s="18"/>
    </row>
    <row r="64" ht="20.05" customHeight="1">
      <c r="B64" s="32"/>
      <c r="C64" s="17">
        <v>3400</v>
      </c>
      <c r="D64" s="18"/>
    </row>
    <row r="65" ht="20.05" customHeight="1">
      <c r="B65" s="32"/>
      <c r="C65" s="17">
        <v>3800</v>
      </c>
      <c r="D65" s="18"/>
    </row>
    <row r="66" ht="20.05" customHeight="1">
      <c r="B66" s="32"/>
      <c r="C66" s="17">
        <v>4080</v>
      </c>
      <c r="D66" s="18"/>
    </row>
    <row r="67" ht="20.05" customHeight="1">
      <c r="B67" s="32"/>
      <c r="C67" s="17">
        <v>4450</v>
      </c>
      <c r="D67" s="18"/>
    </row>
    <row r="68" ht="20.05" customHeight="1">
      <c r="B68" s="32"/>
      <c r="C68" s="17">
        <v>4700</v>
      </c>
      <c r="D68" s="18"/>
    </row>
    <row r="69" ht="20.05" customHeight="1">
      <c r="B69" s="32"/>
      <c r="C69" s="17">
        <v>6300</v>
      </c>
      <c r="D69" s="18"/>
    </row>
    <row r="70" ht="20.05" customHeight="1">
      <c r="B70" s="32"/>
      <c r="C70" s="17">
        <v>6475</v>
      </c>
      <c r="D70" s="18"/>
    </row>
    <row r="71" ht="20.05" customHeight="1">
      <c r="B71" s="32"/>
      <c r="C71" s="17">
        <v>7100</v>
      </c>
      <c r="D71" s="18"/>
    </row>
    <row r="72" ht="20.05" customHeight="1">
      <c r="B72" s="32"/>
      <c r="C72" s="17">
        <v>7200</v>
      </c>
      <c r="D72" s="18"/>
    </row>
    <row r="73" ht="20.05" customHeight="1">
      <c r="B73" s="32"/>
      <c r="C73" s="17">
        <v>7050</v>
      </c>
      <c r="D73" s="18"/>
    </row>
    <row r="74" ht="20.05" customHeight="1">
      <c r="B74" s="32"/>
      <c r="C74" s="17">
        <v>6950</v>
      </c>
      <c r="D74" s="18"/>
    </row>
    <row r="75" ht="20.05" customHeight="1">
      <c r="B75" s="33">
        <v>2020</v>
      </c>
      <c r="C75" s="17">
        <v>6600</v>
      </c>
      <c r="D75" s="18"/>
    </row>
    <row r="76" ht="20.05" customHeight="1">
      <c r="B76" s="32"/>
      <c r="C76" s="17">
        <v>6400</v>
      </c>
      <c r="D76" s="18"/>
    </row>
    <row r="77" ht="20.05" customHeight="1">
      <c r="B77" s="32"/>
      <c r="C77" s="17">
        <v>6000</v>
      </c>
      <c r="D77" s="18"/>
    </row>
    <row r="78" ht="20.05" customHeight="1">
      <c r="B78" s="32"/>
      <c r="C78" s="17">
        <v>5250</v>
      </c>
      <c r="D78" s="18"/>
    </row>
    <row r="79" ht="20.05" customHeight="1">
      <c r="B79" s="32"/>
      <c r="C79" s="17">
        <v>5475</v>
      </c>
      <c r="D79" s="18"/>
    </row>
    <row r="80" ht="20.05" customHeight="1">
      <c r="B80" s="32"/>
      <c r="C80" s="17">
        <v>5200</v>
      </c>
      <c r="D80" s="22"/>
    </row>
    <row r="81" ht="20.05" customHeight="1">
      <c r="B81" s="32"/>
      <c r="C81" s="17">
        <v>4690</v>
      </c>
      <c r="D81" s="22"/>
    </row>
    <row r="82" ht="20.05" customHeight="1">
      <c r="B82" s="32"/>
      <c r="C82" s="17">
        <v>4260</v>
      </c>
      <c r="D82" s="22"/>
    </row>
    <row r="83" ht="20.05" customHeight="1">
      <c r="B83" s="32"/>
      <c r="C83" s="17">
        <v>4780</v>
      </c>
      <c r="D83" s="22"/>
    </row>
    <row r="84" ht="20.05" customHeight="1">
      <c r="B84" s="32"/>
      <c r="C84" s="17">
        <v>5000</v>
      </c>
      <c r="D84" s="22"/>
    </row>
    <row r="85" ht="20.05" customHeight="1">
      <c r="B85" s="32"/>
      <c r="C85" s="17">
        <v>5000</v>
      </c>
      <c r="D85" s="22"/>
    </row>
    <row r="86" ht="20.05" customHeight="1">
      <c r="B86" s="32"/>
      <c r="C86" s="17">
        <v>5500</v>
      </c>
      <c r="D86" s="22"/>
    </row>
    <row r="87" ht="20.05" customHeight="1">
      <c r="B87" s="33">
        <v>2021</v>
      </c>
      <c r="C87" s="17">
        <v>5200</v>
      </c>
      <c r="D87" s="22"/>
    </row>
    <row r="88" ht="20.05" customHeight="1">
      <c r="B88" s="32"/>
      <c r="C88" s="17">
        <v>5350</v>
      </c>
      <c r="D88" s="22"/>
    </row>
    <row r="89" ht="20.05" customHeight="1">
      <c r="B89" s="32"/>
      <c r="C89" s="17">
        <v>4860</v>
      </c>
      <c r="D89" s="18"/>
    </row>
    <row r="90" ht="20.05" customHeight="1">
      <c r="B90" s="32"/>
      <c r="C90" s="17">
        <v>6800</v>
      </c>
      <c r="D90" s="18"/>
    </row>
    <row r="91" ht="20.05" customHeight="1">
      <c r="B91" s="32"/>
      <c r="C91" s="17">
        <v>8350</v>
      </c>
      <c r="D91" s="18"/>
    </row>
    <row r="92" ht="20.05" customHeight="1">
      <c r="B92" s="32"/>
      <c r="C92" s="17">
        <v>8300</v>
      </c>
      <c r="D92" s="18"/>
    </row>
    <row r="93" ht="20.05" customHeight="1">
      <c r="B93" s="32"/>
      <c r="C93" s="17">
        <v>8325</v>
      </c>
      <c r="D93" s="18"/>
    </row>
    <row r="94" ht="20.05" customHeight="1">
      <c r="B94" s="32"/>
      <c r="C94" s="17">
        <v>8200</v>
      </c>
      <c r="D94" s="18"/>
    </row>
    <row r="95" ht="20.05" customHeight="1">
      <c r="B95" s="32"/>
      <c r="C95" s="17">
        <v>9800</v>
      </c>
      <c r="D95" s="18"/>
    </row>
    <row r="96" ht="20.05" customHeight="1">
      <c r="B96" s="32"/>
      <c r="C96" s="17">
        <v>8600</v>
      </c>
      <c r="D96" s="18">
        <f>C96</f>
        <v>8600</v>
      </c>
    </row>
    <row r="97" ht="20.05" customHeight="1">
      <c r="B97" s="32"/>
      <c r="C97" s="17"/>
      <c r="D97" s="18">
        <f>'Model'!F43</f>
        <v>12998.2624959186</v>
      </c>
    </row>
  </sheetData>
  <mergeCells count="1">
    <mergeCell ref="B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