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" sheetId="2" r:id="rId5"/>
    <sheet name="Capital" sheetId="3" r:id="rId6"/>
  </sheets>
</workbook>
</file>

<file path=xl/sharedStrings.xml><?xml version="1.0" encoding="utf-8"?>
<sst xmlns="http://schemas.openxmlformats.org/spreadsheetml/2006/main" uniqueCount="49">
  <si>
    <t>Model</t>
  </si>
  <si>
    <t>Rpbn</t>
  </si>
  <si>
    <t>4Q 2021</t>
  </si>
  <si>
    <t>Cashflow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</si>
  <si>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</si>
  <si>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</si>
  <si>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</si>
  <si>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</si>
  <si>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</si>
  <si>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</si>
  <si>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</si>
  <si>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</si>
  <si>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</si>
  <si>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</si>
  <si>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>Finance</t>
  </si>
  <si>
    <t xml:space="preserve">Beginning </t>
  </si>
  <si>
    <t>Change</t>
  </si>
  <si>
    <t xml:space="preserve">Ending </t>
  </si>
  <si>
    <t xml:space="preserve">Profit </t>
  </si>
  <si>
    <t xml:space="preserve">Non cash costs </t>
  </si>
  <si>
    <t>Profit</t>
  </si>
  <si>
    <t xml:space="preserve">Balance sheet </t>
  </si>
  <si>
    <t>Other assets</t>
  </si>
  <si>
    <t xml:space="preserve">Depreciation </t>
  </si>
  <si>
    <t xml:space="preserve">Net other assets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</si>
  <si>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</si>
  <si>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</si>
  <si>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</si>
  <si>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</si>
  <si>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</si>
  <si>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</si>
  <si>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</si>
  <si>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</si>
  <si>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</si>
  <si>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</si>
  <si>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</si>
  <si>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</si>
  <si>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>SAFE</t>
  </si>
  <si>
    <t xml:space="preserve">V target </t>
  </si>
  <si>
    <t xml:space="preserve">12 month growth </t>
  </si>
  <si>
    <t xml:space="preserve">Sales forecasts </t>
  </si>
  <si>
    <t>Data</t>
  </si>
  <si>
    <t>Receipts</t>
  </si>
  <si>
    <t xml:space="preserve">Cashflow costs </t>
  </si>
  <si>
    <t>Assets</t>
  </si>
  <si>
    <t xml:space="preserve">Target </t>
  </si>
  <si>
    <t xml:space="preserve">Free cashflow </t>
  </si>
  <si>
    <t xml:space="preserve">Cashflow </t>
  </si>
  <si>
    <t>Capital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</si>
</sst>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828871</xdr:colOff>
      <xdr:row>1</xdr:row>
      <xdr:rowOff>279039</xdr:rowOff>
    </xdr:from>
    <xdr:to>
      <xdr:col>13</xdr:col>
      <xdr:colOff>418040</xdr:colOff>
      <xdr:row>45</xdr:row>
      <xdr:rowOff>142194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88171" y="865144"/>
          <a:ext cx="8301370" cy="111686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4375" style="1" customWidth="1"/>
    <col min="2" max="2" width="16.6797" style="1" customWidth="1"/>
    <col min="3" max="6" width="9.78125" style="1" customWidth="1"/>
    <col min="7" max="16384" width="16.3516" style="1" customWidth="1"/>
  </cols>
  <sheetData>
    <row r="1" ht="46.1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3">
        <v>2</v>
      </c>
      <c r="D3" s="4"/>
      <c r="E3" s="4"/>
      <c r="F3" s="4"/>
    </row>
    <row r="4" ht="20.25" customHeight="1">
      <c r="B4" t="s" s="5">
        <v>3</v>
      </c>
      <c r="C4" s="6">
        <f>AVERAGE('Data'!F5:I5)</f>
        <v>0.030516038235004</v>
      </c>
      <c r="D4" s="7"/>
      <c r="E4" s="7"/>
      <c r="F4" s="8">
        <f>AVERAGE(C5:F5)</f>
        <v>0.0475</v>
      </c>
    </row>
    <row r="5" ht="20.05" customHeight="1">
      <c r="B5" t="s" s="9">
        <v>4</v>
      </c>
      <c r="C5" s="10">
        <v>0.1</v>
      </c>
      <c r="D5" s="11">
        <v>-0.01</v>
      </c>
      <c r="E5" s="11">
        <v>0.03</v>
      </c>
      <c r="F5" s="11">
        <v>0.07000000000000001</v>
      </c>
    </row>
    <row r="6" ht="20.05" customHeight="1">
      <c r="B6" t="s" s="9">
        <v>5</v>
      </c>
      <c r="C6" s="12">
        <f>'Data'!I6*(1+C5)</f>
        <v>41.5547</v>
      </c>
      <c r="D6" s="13">
        <f>C6*(1+D5)</f>
        <v>41.139153</v>
      </c>
      <c r="E6" s="13">
        <f>D6*(1+E5)</f>
        <v>42.37332759</v>
      </c>
      <c r="F6" s="13">
        <f>E6*(1+F5)</f>
        <v>45.3394605213</v>
      </c>
    </row>
    <row r="7" ht="20.05" customHeight="1">
      <c r="B7" t="s" s="9">
        <v>6</v>
      </c>
      <c r="C7" s="10">
        <f>'Data'!I10</f>
        <v>-0.808794927315633</v>
      </c>
      <c r="D7" s="11">
        <f>C7</f>
        <v>-0.808794927315633</v>
      </c>
      <c r="E7" s="11">
        <f>D7</f>
        <v>-0.808794927315633</v>
      </c>
      <c r="F7" s="11">
        <f>E7</f>
        <v>-0.808794927315633</v>
      </c>
    </row>
    <row r="8" ht="20.05" customHeight="1">
      <c r="B8" t="s" s="9">
        <v>7</v>
      </c>
      <c r="C8" s="12">
        <f>C6*C7</f>
        <v>-33.6092305661229</v>
      </c>
      <c r="D8" s="13">
        <f>D6*D7</f>
        <v>-33.2731382604617</v>
      </c>
      <c r="E8" s="13">
        <f>E6*E7</f>
        <v>-34.2713324082756</v>
      </c>
      <c r="F8" s="13">
        <f>F6*F7</f>
        <v>-36.6703256768548</v>
      </c>
    </row>
    <row r="9" ht="20.05" customHeight="1">
      <c r="B9" t="s" s="9">
        <v>8</v>
      </c>
      <c r="C9" s="12">
        <f>C6+C8</f>
        <v>7.9454694338771</v>
      </c>
      <c r="D9" s="13">
        <f>D6+D8</f>
        <v>7.8660147395383</v>
      </c>
      <c r="E9" s="13">
        <f>E6+E8</f>
        <v>8.1019951817244</v>
      </c>
      <c r="F9" s="13">
        <f>F6+F8</f>
        <v>8.6691348444452</v>
      </c>
    </row>
    <row r="10" ht="20.05" customHeight="1">
      <c r="B10" t="s" s="9">
        <v>9</v>
      </c>
      <c r="C10" s="12">
        <f>AVERAGE('Data'!E13:I13)</f>
        <v>0.396</v>
      </c>
      <c r="D10" s="13">
        <f>C10</f>
        <v>0.396</v>
      </c>
      <c r="E10" s="13">
        <f>D10</f>
        <v>0.396</v>
      </c>
      <c r="F10" s="13">
        <f>E10</f>
        <v>0.396</v>
      </c>
    </row>
    <row r="11" ht="20.05" customHeight="1">
      <c r="B11" t="s" s="9">
        <v>10</v>
      </c>
      <c r="C11" s="12">
        <f>-'Data'!I29/20</f>
        <v>-18.6819</v>
      </c>
      <c r="D11" s="13">
        <f>-C26/20</f>
        <v>-17.747805</v>
      </c>
      <c r="E11" s="13">
        <f>-D26/20</f>
        <v>-16.86041475</v>
      </c>
      <c r="F11" s="13">
        <f>-E26/20</f>
        <v>-16.0173940125</v>
      </c>
    </row>
    <row r="12" ht="20.05" customHeight="1">
      <c r="B12" t="s" s="9">
        <v>11</v>
      </c>
      <c r="C12" s="12">
        <f>IF(C21&gt;0,-C21*0.3,0)</f>
        <v>-0.19364083016313</v>
      </c>
      <c r="D12" s="13">
        <f>IF(D21&gt;0,-D21*0.3,0)</f>
        <v>-0.16980442186149</v>
      </c>
      <c r="E12" s="13">
        <f>IF(E21&gt;0,-E21*0.3,0)</f>
        <v>-0.24059855451732</v>
      </c>
      <c r="F12" s="13">
        <f>IF(F21&gt;0,-F21*0.3,0)</f>
        <v>-0.41074045333356</v>
      </c>
    </row>
    <row r="13" ht="20.05" customHeight="1">
      <c r="B13" t="s" s="9">
        <v>12</v>
      </c>
      <c r="C13" s="12">
        <f>C9+C10+C11+C12</f>
        <v>-10.534071396286</v>
      </c>
      <c r="D13" s="13">
        <f>D9+D10+D11+D12</f>
        <v>-9.655594682323191</v>
      </c>
      <c r="E13" s="13">
        <f>E9+E10+E11+E12</f>
        <v>-8.603018122792919</v>
      </c>
      <c r="F13" s="13">
        <f>F9+F10+F11+F12</f>
        <v>-7.36299962138836</v>
      </c>
    </row>
    <row r="14" ht="20.05" customHeight="1">
      <c r="B14" t="s" s="9">
        <v>13</v>
      </c>
      <c r="C14" s="12">
        <f>-MIN(0,C13)</f>
        <v>10.534071396286</v>
      </c>
      <c r="D14" s="13">
        <f>-MIN(C27,D13)</f>
        <v>9.655594682323191</v>
      </c>
      <c r="E14" s="13">
        <f>-MIN(D27,E13)</f>
        <v>8.603018122792919</v>
      </c>
      <c r="F14" s="13">
        <f>-MIN(E27,F13)</f>
        <v>7.36299962138836</v>
      </c>
    </row>
    <row r="15" ht="20.05" customHeight="1">
      <c r="B15" t="s" s="9">
        <v>14</v>
      </c>
      <c r="C15" s="12">
        <f>C11+C12+C14</f>
        <v>-8.34146943387713</v>
      </c>
      <c r="D15" s="13">
        <f>D11+D12+D14</f>
        <v>-8.2620147395383</v>
      </c>
      <c r="E15" s="13">
        <f>E11+E12+E14</f>
        <v>-8.4979951817244</v>
      </c>
      <c r="F15" s="13">
        <f>F11+F12+F14</f>
        <v>-9.0651348444452</v>
      </c>
    </row>
    <row r="16" ht="20.05" customHeight="1">
      <c r="B16" t="s" s="9">
        <v>15</v>
      </c>
      <c r="C16" s="12">
        <f>'Data'!I21</f>
        <v>11.25</v>
      </c>
      <c r="D16" s="13">
        <f>C18</f>
        <v>11.25</v>
      </c>
      <c r="E16" s="13">
        <f>D18</f>
        <v>11.25</v>
      </c>
      <c r="F16" s="13">
        <f>E18</f>
        <v>11.25</v>
      </c>
    </row>
    <row r="17" ht="20.05" customHeight="1">
      <c r="B17" t="s" s="9">
        <v>16</v>
      </c>
      <c r="C17" s="12">
        <f>C9+C10+C15</f>
        <v>-3e-14</v>
      </c>
      <c r="D17" s="13">
        <f>D9+D10+D15</f>
        <v>0</v>
      </c>
      <c r="E17" s="13">
        <f>E9+E10+E15</f>
        <v>0</v>
      </c>
      <c r="F17" s="13">
        <f>F9+F10+F15</f>
        <v>0</v>
      </c>
    </row>
    <row r="18" ht="20.05" customHeight="1">
      <c r="B18" t="s" s="9">
        <v>17</v>
      </c>
      <c r="C18" s="12">
        <f>C16+C17</f>
        <v>11.25</v>
      </c>
      <c r="D18" s="13">
        <f>D16+D17</f>
        <v>11.25</v>
      </c>
      <c r="E18" s="13">
        <f>E16+E17</f>
        <v>11.25</v>
      </c>
      <c r="F18" s="13">
        <f>F16+F17</f>
        <v>11.25</v>
      </c>
    </row>
    <row r="19" ht="20.05" customHeight="1">
      <c r="B19" t="s" s="14">
        <v>18</v>
      </c>
      <c r="C19" s="15"/>
      <c r="D19" s="16"/>
      <c r="E19" s="16"/>
      <c r="F19" s="17"/>
    </row>
    <row r="20" ht="20.05" customHeight="1">
      <c r="B20" t="s" s="9">
        <v>19</v>
      </c>
      <c r="C20" s="15">
        <f>-'Data'!I23</f>
        <v>-7.3</v>
      </c>
      <c r="D20" s="16">
        <f>C20</f>
        <v>-7.3</v>
      </c>
      <c r="E20" s="16">
        <f>D20</f>
        <v>-7.3</v>
      </c>
      <c r="F20" s="16">
        <f>E20</f>
        <v>-7.3</v>
      </c>
    </row>
    <row r="21" ht="20.05" customHeight="1">
      <c r="B21" t="s" s="9">
        <v>20</v>
      </c>
      <c r="C21" s="15">
        <f>C6+C8+C20</f>
        <v>0.6454694338771</v>
      </c>
      <c r="D21" s="16">
        <f>D6+D8+D20</f>
        <v>0.5660147395382999</v>
      </c>
      <c r="E21" s="16">
        <f>E6+E8+E20</f>
        <v>0.8019951817244</v>
      </c>
      <c r="F21" s="16">
        <f>F6+F8+F20</f>
        <v>1.3691348444452</v>
      </c>
    </row>
    <row r="22" ht="20.05" customHeight="1">
      <c r="B22" t="s" s="14">
        <v>21</v>
      </c>
      <c r="C22" s="15"/>
      <c r="D22" s="16"/>
      <c r="E22" s="16"/>
      <c r="F22" s="16"/>
    </row>
    <row r="23" ht="20.05" customHeight="1">
      <c r="B23" t="s" s="9">
        <v>22</v>
      </c>
      <c r="C23" s="15">
        <f>'Data'!I28+'Data'!I27-C10</f>
        <v>489.361</v>
      </c>
      <c r="D23" s="16">
        <f>C23-D10</f>
        <v>488.965</v>
      </c>
      <c r="E23" s="16">
        <f>D23-E10</f>
        <v>488.569</v>
      </c>
      <c r="F23" s="16">
        <f>E23-F10</f>
        <v>488.173</v>
      </c>
    </row>
    <row r="24" ht="20.05" customHeight="1">
      <c r="B24" t="s" s="9">
        <v>23</v>
      </c>
      <c r="C24" s="15">
        <f>'Data'!I27-C20</f>
        <v>203.436</v>
      </c>
      <c r="D24" s="16">
        <f>C24-D20</f>
        <v>210.736</v>
      </c>
      <c r="E24" s="16">
        <f>D24-E20</f>
        <v>218.036</v>
      </c>
      <c r="F24" s="16">
        <f>E24-F20</f>
        <v>225.336</v>
      </c>
    </row>
    <row r="25" ht="20.05" customHeight="1">
      <c r="B25" t="s" s="9">
        <v>24</v>
      </c>
      <c r="C25" s="15">
        <f>C23-C24</f>
        <v>285.925</v>
      </c>
      <c r="D25" s="16">
        <f>D23-D24</f>
        <v>278.229</v>
      </c>
      <c r="E25" s="16">
        <f>E23-E24</f>
        <v>270.533</v>
      </c>
      <c r="F25" s="16">
        <f>F23-F24</f>
        <v>262.837</v>
      </c>
    </row>
    <row r="26" ht="20.05" customHeight="1">
      <c r="B26" t="s" s="9">
        <v>10</v>
      </c>
      <c r="C26" s="15">
        <f>'Data'!I29+C11</f>
        <v>354.9561</v>
      </c>
      <c r="D26" s="16">
        <f>C26+D11</f>
        <v>337.208295</v>
      </c>
      <c r="E26" s="16">
        <f>D26+E11</f>
        <v>320.34788025</v>
      </c>
      <c r="F26" s="16">
        <f>E26+F11</f>
        <v>304.3304862375</v>
      </c>
    </row>
    <row r="27" ht="20.05" customHeight="1">
      <c r="B27" t="s" s="9">
        <v>13</v>
      </c>
      <c r="C27" s="15">
        <f>C14</f>
        <v>10.534071396286</v>
      </c>
      <c r="D27" s="16">
        <f>D14+C27</f>
        <v>20.1896660786092</v>
      </c>
      <c r="E27" s="16">
        <f>E14+D27</f>
        <v>28.7926842014021</v>
      </c>
      <c r="F27" s="16">
        <f>F14+E27</f>
        <v>36.1556838227905</v>
      </c>
    </row>
    <row r="28" ht="20.05" customHeight="1">
      <c r="B28" t="s" s="9">
        <v>11</v>
      </c>
      <c r="C28" s="15">
        <f>'Data'!I30+C21+C12</f>
        <v>-68.315171396286</v>
      </c>
      <c r="D28" s="16">
        <f>C28+D21+D12</f>
        <v>-67.9189610786092</v>
      </c>
      <c r="E28" s="16">
        <f>D28+E21+E12</f>
        <v>-67.3575644514021</v>
      </c>
      <c r="F28" s="16">
        <f>E28+F21+F12</f>
        <v>-66.3991700602905</v>
      </c>
    </row>
    <row r="29" ht="20.05" customHeight="1">
      <c r="B29" t="s" s="9">
        <v>25</v>
      </c>
      <c r="C29" s="15">
        <f>C26+C27+C28-C18-C25</f>
        <v>0</v>
      </c>
      <c r="D29" s="16">
        <f>D26+D27+D28-D18-D25</f>
        <v>0</v>
      </c>
      <c r="E29" s="16">
        <f>E26+E27+E28-E18-E25</f>
        <v>0</v>
      </c>
      <c r="F29" s="16">
        <f>F26+F27+F28-F18-F25</f>
        <v>0</v>
      </c>
    </row>
    <row r="30" ht="20.05" customHeight="1">
      <c r="B30" t="s" s="9">
        <v>26</v>
      </c>
      <c r="C30" s="15">
        <f>C18-C26-C27</f>
        <v>-354.240171396286</v>
      </c>
      <c r="D30" s="16">
        <f>D18-D26-D27</f>
        <v>-346.147961078609</v>
      </c>
      <c r="E30" s="16">
        <f>E18-E26-E27</f>
        <v>-337.890564451402</v>
      </c>
      <c r="F30" s="16">
        <f>F18-F26-F27</f>
        <v>-329.236170060291</v>
      </c>
    </row>
    <row r="31" ht="20.05" customHeight="1">
      <c r="B31" t="s" s="14">
        <v>27</v>
      </c>
      <c r="C31" s="15"/>
      <c r="D31" s="16"/>
      <c r="E31" s="16"/>
      <c r="F31" s="16"/>
    </row>
    <row r="32" ht="20.05" customHeight="1">
      <c r="B32" t="s" s="9">
        <v>28</v>
      </c>
      <c r="C32" s="15">
        <f>'Data'!I34-C15</f>
        <v>-321.641530566123</v>
      </c>
      <c r="D32" s="16">
        <f>C32-D15</f>
        <v>-313.379515826585</v>
      </c>
      <c r="E32" s="16">
        <f>D32-E15</f>
        <v>-304.881520644861</v>
      </c>
      <c r="F32" s="16">
        <f>E32-F15</f>
        <v>-295.816385800416</v>
      </c>
    </row>
    <row r="33" ht="20.05" customHeight="1">
      <c r="B33" t="s" s="9">
        <v>29</v>
      </c>
      <c r="C33" s="18"/>
      <c r="D33" s="16"/>
      <c r="E33" s="16"/>
      <c r="F33" s="16">
        <v>140.3</v>
      </c>
    </row>
    <row r="34" ht="20.05" customHeight="1">
      <c r="B34" t="s" s="9">
        <v>30</v>
      </c>
      <c r="C34" s="15"/>
      <c r="D34" s="16"/>
      <c r="E34" s="16"/>
      <c r="F34" s="19">
        <f>F33/(F18+F23)</f>
        <v>0.280924186511234</v>
      </c>
    </row>
    <row r="35" ht="20.05" customHeight="1">
      <c r="B35" t="s" s="9">
        <v>31</v>
      </c>
      <c r="C35" s="15"/>
      <c r="D35" s="17"/>
      <c r="E35" s="16"/>
      <c r="F35" s="20">
        <f>-(C12+D12+E12+F12)/F33</f>
        <v>0.00723295979954027</v>
      </c>
    </row>
    <row r="36" ht="20.05" customHeight="1">
      <c r="B36" t="s" s="9">
        <v>3</v>
      </c>
      <c r="C36" s="15"/>
      <c r="D36" s="16"/>
      <c r="E36" s="16"/>
      <c r="F36" s="16">
        <f>SUM(C9:F10)</f>
        <v>34.166614199585</v>
      </c>
    </row>
    <row r="37" ht="20.05" customHeight="1">
      <c r="B37" t="s" s="9">
        <v>32</v>
      </c>
      <c r="C37" s="15"/>
      <c r="D37" s="16"/>
      <c r="E37" s="16"/>
      <c r="F37" s="16">
        <f>F23/F36</f>
        <v>14.2880121848869</v>
      </c>
    </row>
    <row r="38" ht="20.05" customHeight="1">
      <c r="B38" t="s" s="9">
        <v>27</v>
      </c>
      <c r="C38" s="15"/>
      <c r="D38" s="16"/>
      <c r="E38" s="16"/>
      <c r="F38" s="16">
        <f>F33/F36</f>
        <v>4.10634776921221</v>
      </c>
    </row>
    <row r="39" ht="20.05" customHeight="1">
      <c r="B39" t="s" s="9">
        <v>33</v>
      </c>
      <c r="C39" s="15"/>
      <c r="D39" s="16"/>
      <c r="E39" s="16"/>
      <c r="F39" s="16">
        <v>5.5</v>
      </c>
    </row>
    <row r="40" ht="20.05" customHeight="1">
      <c r="B40" t="s" s="9">
        <v>34</v>
      </c>
      <c r="C40" s="15"/>
      <c r="D40" s="16"/>
      <c r="E40" s="16"/>
      <c r="F40" s="16">
        <f>F36*F39</f>
        <v>187.916378097718</v>
      </c>
    </row>
    <row r="41" ht="20.05" customHeight="1">
      <c r="B41" t="s" s="9">
        <v>35</v>
      </c>
      <c r="C41" s="15"/>
      <c r="D41" s="16"/>
      <c r="E41" s="16"/>
      <c r="F41" s="16">
        <f>F33/F43</f>
        <v>0.615350877192982</v>
      </c>
    </row>
    <row r="42" ht="20.05" customHeight="1">
      <c r="B42" t="s" s="9">
        <v>36</v>
      </c>
      <c r="C42" s="12"/>
      <c r="D42" s="13"/>
      <c r="E42" s="13"/>
      <c r="F42" s="13">
        <f>F40/F41</f>
        <v>305.380856780326</v>
      </c>
    </row>
    <row r="43" ht="20.05" customHeight="1">
      <c r="B43" t="s" s="9">
        <v>37</v>
      </c>
      <c r="C43" s="12"/>
      <c r="D43" s="13"/>
      <c r="E43" s="13"/>
      <c r="F43" s="13">
        <f>'Data'!J35</f>
        <v>228</v>
      </c>
    </row>
    <row r="44" ht="20.05" customHeight="1">
      <c r="B44" t="s" s="9">
        <v>38</v>
      </c>
      <c r="C44" s="18"/>
      <c r="D44" s="16"/>
      <c r="E44" s="16"/>
      <c r="F44" s="11">
        <f>F42/F43-1</f>
        <v>0.339389722720728</v>
      </c>
    </row>
    <row r="45" ht="20.05" customHeight="1">
      <c r="B45" t="s" s="9">
        <v>39</v>
      </c>
      <c r="C45" s="18"/>
      <c r="D45" s="16"/>
      <c r="E45" s="16"/>
      <c r="F45" s="11">
        <f>'Data'!I6/'Data'!E6-1</f>
        <v>0.0981686046511628</v>
      </c>
    </row>
    <row r="46" ht="20.05" customHeight="1">
      <c r="B46" t="s" s="9">
        <v>40</v>
      </c>
      <c r="C46" s="18"/>
      <c r="D46" s="16"/>
      <c r="E46" s="16"/>
      <c r="F46" s="11">
        <f>'Data'!I7/'Data'!I6-1</f>
        <v>0.184530269740848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4375" style="21" customWidth="1"/>
    <col min="2" max="2" width="16.6797" style="21" customWidth="1"/>
    <col min="3" max="13" width="8.25" style="21" customWidth="1"/>
    <col min="14" max="16384" width="16.3516" style="21" customWidth="1"/>
  </cols>
  <sheetData>
    <row r="1" ht="46.15" customHeight="1"/>
    <row r="2" ht="27.65" customHeight="1">
      <c r="B2" t="s" s="2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>
      <c r="B3" t="s" s="3">
        <v>1</v>
      </c>
      <c r="C3" s="22">
        <v>2020</v>
      </c>
      <c r="D3" s="4"/>
      <c r="E3" s="4"/>
      <c r="F3" s="4"/>
      <c r="G3" s="22">
        <v>2021</v>
      </c>
      <c r="H3" s="4"/>
      <c r="I3" s="4"/>
      <c r="J3" s="4"/>
      <c r="K3" s="4"/>
      <c r="L3" s="4"/>
      <c r="M3" s="4"/>
    </row>
    <row r="4" ht="20.25" customHeight="1">
      <c r="B4" t="s" s="5">
        <v>3</v>
      </c>
      <c r="C4" s="23"/>
      <c r="D4" s="24"/>
      <c r="E4" s="24"/>
      <c r="F4" s="24"/>
      <c r="G4" s="24"/>
      <c r="H4" s="7"/>
      <c r="I4" s="7"/>
      <c r="J4" s="25"/>
      <c r="K4" s="25"/>
      <c r="L4" s="25"/>
      <c r="M4" s="25"/>
    </row>
    <row r="5" ht="20.05" customHeight="1">
      <c r="B5" t="s" s="9">
        <v>4</v>
      </c>
      <c r="C5" s="15"/>
      <c r="D5" s="11">
        <f>D6/C6-1</f>
        <v>-0.482978723404255</v>
      </c>
      <c r="E5" s="11">
        <f>E6/D6-1</f>
        <v>0.415637860082305</v>
      </c>
      <c r="F5" s="11">
        <f>F6/E6-1</f>
        <v>0.113372093023256</v>
      </c>
      <c r="G5" s="11">
        <f>G6/F6-1</f>
        <v>0.101827676240209</v>
      </c>
      <c r="H5" s="11">
        <f>H6/G6-1</f>
        <v>0.0710900473933649</v>
      </c>
      <c r="I5" s="11">
        <f>I6/H6-1</f>
        <v>-0.164225663716814</v>
      </c>
      <c r="J5" s="17"/>
      <c r="K5" s="17"/>
      <c r="L5" s="17"/>
      <c r="M5" s="17"/>
    </row>
    <row r="6" ht="20.05" customHeight="1">
      <c r="B6" t="s" s="9">
        <v>5</v>
      </c>
      <c r="C6" s="15">
        <v>47</v>
      </c>
      <c r="D6" s="16">
        <v>24.3</v>
      </c>
      <c r="E6" s="16">
        <v>34.4</v>
      </c>
      <c r="F6" s="16">
        <v>38.3</v>
      </c>
      <c r="G6" s="16">
        <v>42.2</v>
      </c>
      <c r="H6" s="16">
        <v>45.2</v>
      </c>
      <c r="I6" s="16">
        <f>125.177-H6-G6</f>
        <v>37.777</v>
      </c>
      <c r="J6" s="17"/>
      <c r="K6" s="17"/>
      <c r="L6" s="17"/>
      <c r="M6" s="17"/>
    </row>
    <row r="7" ht="20.05" customHeight="1">
      <c r="B7" t="s" s="9">
        <v>33</v>
      </c>
      <c r="C7" s="15"/>
      <c r="D7" s="16"/>
      <c r="E7" s="16"/>
      <c r="F7" s="16"/>
      <c r="G7" s="16"/>
      <c r="H7" s="16"/>
      <c r="I7" s="16">
        <v>44.748</v>
      </c>
      <c r="J7" s="26">
        <f>'Model'!C6</f>
        <v>41.5547</v>
      </c>
      <c r="K7" s="26">
        <f>'Model'!D6</f>
        <v>41.139153</v>
      </c>
      <c r="L7" s="26">
        <f>'Model'!E6</f>
        <v>42.37332759</v>
      </c>
      <c r="M7" s="26">
        <f>'Model'!F6</f>
        <v>45.3394605213</v>
      </c>
    </row>
    <row r="8" ht="20.05" customHeight="1">
      <c r="B8" t="s" s="9">
        <v>42</v>
      </c>
      <c r="C8" s="15">
        <v>47.3</v>
      </c>
      <c r="D8" s="16">
        <v>30.1</v>
      </c>
      <c r="E8" s="16">
        <v>32.6</v>
      </c>
      <c r="F8" s="16">
        <v>36.3</v>
      </c>
      <c r="G8" s="16">
        <v>40.7</v>
      </c>
      <c r="H8" s="16">
        <v>46.5</v>
      </c>
      <c r="I8" s="16">
        <f>126.967-H8-G8</f>
        <v>39.767</v>
      </c>
      <c r="J8" s="17"/>
      <c r="K8" s="17"/>
      <c r="L8" s="17"/>
      <c r="M8" s="17"/>
    </row>
    <row r="9" ht="20.05" customHeight="1">
      <c r="B9" t="s" s="9">
        <v>6</v>
      </c>
      <c r="C9" s="10">
        <f>(C24+C23-C6)/C6</f>
        <v>-0.81063829787234</v>
      </c>
      <c r="D9" s="11">
        <f>(D24+D23-D6)/D6</f>
        <v>-1.18930041152263</v>
      </c>
      <c r="E9" s="11">
        <f>(E24+E23-E6)/E6</f>
        <v>-0.84593023255814</v>
      </c>
      <c r="F9" s="11">
        <f>(F24+F23-F6)/F6</f>
        <v>-0.9242819843342041</v>
      </c>
      <c r="G9" s="11">
        <f>(G24+G23-G6)/G6</f>
        <v>-0.83175355450237</v>
      </c>
      <c r="H9" s="11">
        <f>(H24+H23-H6)/H6</f>
        <v>-0.800884955752212</v>
      </c>
      <c r="I9" s="11">
        <f>(I24+I23-I6)/I6</f>
        <v>-0.831881832861265</v>
      </c>
      <c r="J9" s="11">
        <f>'Model'!C7</f>
        <v>-0.808794927315633</v>
      </c>
      <c r="K9" s="17"/>
      <c r="L9" s="17"/>
      <c r="M9" s="17"/>
    </row>
    <row r="10" ht="20.05" customHeight="1">
      <c r="B10" t="s" s="9">
        <v>43</v>
      </c>
      <c r="C10" s="10"/>
      <c r="D10" s="11">
        <f>AVERAGE(B11:D11)</f>
        <v>-0.872848082150408</v>
      </c>
      <c r="E10" s="11">
        <f>AVERAGE(C11:E11)</f>
        <v>-0.874332259265916</v>
      </c>
      <c r="F10" s="11">
        <f>AVERAGE(D11:F11)</f>
        <v>-0.914779010072075</v>
      </c>
      <c r="G10" s="11">
        <f>AVERAGE(E11:G11)</f>
        <v>-0.873725573669801</v>
      </c>
      <c r="H10" s="11">
        <f>AVERAGE(F11:H11)</f>
        <v>-0.845808164869748</v>
      </c>
      <c r="I10" s="11">
        <f>AVERAGE(G11:I11)</f>
        <v>-0.808794927315633</v>
      </c>
      <c r="J10" s="17"/>
      <c r="K10" s="17"/>
      <c r="L10" s="17"/>
      <c r="M10" s="17"/>
    </row>
    <row r="11" ht="20.05" customHeight="1">
      <c r="B11" t="s" s="9">
        <v>43</v>
      </c>
      <c r="C11" s="10">
        <f>(C12-C8)/C8</f>
        <v>-0.782241014799154</v>
      </c>
      <c r="D11" s="11">
        <f>(D12-D8)/D8</f>
        <v>-0.963455149501661</v>
      </c>
      <c r="E11" s="11">
        <f>(E12-E8)/E8</f>
        <v>-0.877300613496933</v>
      </c>
      <c r="F11" s="11">
        <f>(F12-F8)/F8</f>
        <v>-0.903581267217631</v>
      </c>
      <c r="G11" s="11">
        <f>(G12-G8)/G8</f>
        <v>-0.84029484029484</v>
      </c>
      <c r="H11" s="11">
        <f>(H12-H8)/H8</f>
        <v>-0.793548387096774</v>
      </c>
      <c r="I11" s="11">
        <f>(I12-I8)/I8</f>
        <v>-0.792541554555285</v>
      </c>
      <c r="J11" s="17"/>
      <c r="K11" s="17"/>
      <c r="L11" s="17"/>
      <c r="M11" s="17"/>
    </row>
    <row r="12" ht="20.05" customHeight="1">
      <c r="B12" t="s" s="9">
        <v>8</v>
      </c>
      <c r="C12" s="15">
        <v>10.3</v>
      </c>
      <c r="D12" s="16">
        <v>1.1</v>
      </c>
      <c r="E12" s="16">
        <v>4</v>
      </c>
      <c r="F12" s="16">
        <v>3.5</v>
      </c>
      <c r="G12" s="16">
        <v>6.5</v>
      </c>
      <c r="H12" s="16">
        <v>9.6</v>
      </c>
      <c r="I12" s="16">
        <f>24.35-H12-G12</f>
        <v>8.25</v>
      </c>
      <c r="J12" s="17"/>
      <c r="K12" s="17"/>
      <c r="L12" s="17"/>
      <c r="M12" s="17"/>
    </row>
    <row r="13" ht="20.05" customHeight="1">
      <c r="B13" t="s" s="9">
        <v>9</v>
      </c>
      <c r="C13" s="15">
        <v>-3</v>
      </c>
      <c r="D13" s="16">
        <v>-1.6</v>
      </c>
      <c r="E13" s="16">
        <v>-0.4</v>
      </c>
      <c r="F13" s="16">
        <v>-2.6</v>
      </c>
      <c r="G13" s="16">
        <v>2.6</v>
      </c>
      <c r="H13" s="16">
        <v>-6</v>
      </c>
      <c r="I13" s="16">
        <f>4.98-H13-G13</f>
        <v>8.380000000000001</v>
      </c>
      <c r="J13" s="17"/>
      <c r="K13" s="17"/>
      <c r="L13" s="17"/>
      <c r="M13" s="17"/>
    </row>
    <row r="14" ht="20.05" customHeight="1">
      <c r="B14" t="s" s="9">
        <v>10</v>
      </c>
      <c r="C14" s="15">
        <v>-5.9</v>
      </c>
      <c r="D14" s="16">
        <v>-4.3</v>
      </c>
      <c r="E14" s="16">
        <v>-0.1</v>
      </c>
      <c r="F14" s="16">
        <v>-2</v>
      </c>
      <c r="G14" s="16">
        <v>-4.8</v>
      </c>
      <c r="H14" s="16">
        <v>-6.6</v>
      </c>
      <c r="I14" s="16">
        <f>-22.78-H14-G14</f>
        <v>-11.38</v>
      </c>
      <c r="J14" s="17"/>
      <c r="K14" s="17"/>
      <c r="L14" s="17"/>
      <c r="M14" s="17"/>
    </row>
    <row r="15" ht="20.05" customHeight="1">
      <c r="B15" t="s" s="9">
        <v>11</v>
      </c>
      <c r="C15" s="15"/>
      <c r="D15" s="16"/>
      <c r="E15" s="16"/>
      <c r="F15" s="16"/>
      <c r="G15" s="16"/>
      <c r="H15" s="16"/>
      <c r="I15" s="16"/>
      <c r="J15" s="17"/>
      <c r="K15" s="17"/>
      <c r="L15" s="17"/>
      <c r="M15" s="17"/>
    </row>
    <row r="16" ht="20.05" customHeight="1">
      <c r="B16" t="s" s="9">
        <v>12</v>
      </c>
      <c r="C16" s="15"/>
      <c r="D16" s="16"/>
      <c r="E16" s="16"/>
      <c r="F16" s="16"/>
      <c r="G16" s="16"/>
      <c r="H16" s="16"/>
      <c r="I16" s="16"/>
      <c r="J16" s="17"/>
      <c r="K16" s="17"/>
      <c r="L16" s="17"/>
      <c r="M16" s="17"/>
    </row>
    <row r="17" ht="20.05" customHeight="1">
      <c r="B17" t="s" s="9">
        <v>13</v>
      </c>
      <c r="C17" s="15"/>
      <c r="D17" s="16"/>
      <c r="E17" s="16"/>
      <c r="F17" s="16"/>
      <c r="G17" s="16"/>
      <c r="H17" s="16"/>
      <c r="I17" s="16"/>
      <c r="J17" s="17"/>
      <c r="K17" s="17"/>
      <c r="L17" s="17"/>
      <c r="M17" s="17"/>
    </row>
    <row r="18" ht="20.05" customHeight="1">
      <c r="B18" t="s" s="9">
        <v>14</v>
      </c>
      <c r="C18" s="15">
        <f>C14+C15</f>
        <v>-5.9</v>
      </c>
      <c r="D18" s="16">
        <f>D14+D15</f>
        <v>-4.3</v>
      </c>
      <c r="E18" s="16">
        <f>E14+E15</f>
        <v>-0.1</v>
      </c>
      <c r="F18" s="16">
        <f>F14+F15</f>
        <v>-2</v>
      </c>
      <c r="G18" s="16">
        <f>G14+G15</f>
        <v>-4.8</v>
      </c>
      <c r="H18" s="16">
        <f>H14+H15</f>
        <v>-6.6</v>
      </c>
      <c r="I18" s="16">
        <f>I14+I15</f>
        <v>-11.38</v>
      </c>
      <c r="J18" s="16"/>
      <c r="K18" s="17"/>
      <c r="L18" s="17"/>
      <c r="M18" s="17"/>
    </row>
    <row r="19" ht="20.05" customHeight="1">
      <c r="B19" t="s" s="9">
        <v>15</v>
      </c>
      <c r="C19" s="15">
        <v>5.7</v>
      </c>
      <c r="D19" s="16">
        <f>C21</f>
        <v>7.14</v>
      </c>
      <c r="E19" s="16">
        <f>D21</f>
        <v>2.34</v>
      </c>
      <c r="F19" s="16">
        <f>E21</f>
        <v>5.7</v>
      </c>
      <c r="G19" s="16">
        <f>F21</f>
        <v>4.7</v>
      </c>
      <c r="H19" s="16">
        <f>G21</f>
        <v>9</v>
      </c>
      <c r="I19" s="16">
        <f>H21</f>
        <v>6</v>
      </c>
      <c r="J19" s="17"/>
      <c r="K19" s="17"/>
      <c r="L19" s="17"/>
      <c r="M19" s="17"/>
    </row>
    <row r="20" ht="20.05" customHeight="1">
      <c r="B20" t="s" s="9">
        <v>16</v>
      </c>
      <c r="C20" s="15">
        <f>C12+C13+C18</f>
        <v>1.4</v>
      </c>
      <c r="D20" s="16">
        <f>D12+D13+D18</f>
        <v>-4.8</v>
      </c>
      <c r="E20" s="16">
        <f>E12+E13+E18</f>
        <v>3.5</v>
      </c>
      <c r="F20" s="16">
        <f>F12+F13+F18</f>
        <v>-1.1</v>
      </c>
      <c r="G20" s="16">
        <f>G12+G13+G18</f>
        <v>4.3</v>
      </c>
      <c r="H20" s="16">
        <f>H12+H13+H18</f>
        <v>-3</v>
      </c>
      <c r="I20" s="16">
        <f>I12+I13+I18</f>
        <v>5.25</v>
      </c>
      <c r="J20" s="17"/>
      <c r="K20" s="17"/>
      <c r="L20" s="17"/>
      <c r="M20" s="17"/>
    </row>
    <row r="21" ht="20.05" customHeight="1">
      <c r="B21" t="s" s="9">
        <v>17</v>
      </c>
      <c r="C21" s="15">
        <v>7.14</v>
      </c>
      <c r="D21" s="16">
        <f>D19+D20</f>
        <v>2.34</v>
      </c>
      <c r="E21" s="16">
        <v>5.7</v>
      </c>
      <c r="F21" s="16">
        <v>4.7</v>
      </c>
      <c r="G21" s="16">
        <f>G19+G20</f>
        <v>9</v>
      </c>
      <c r="H21" s="16">
        <f>H19+H20</f>
        <v>6</v>
      </c>
      <c r="I21" s="16">
        <f>I19+I20</f>
        <v>11.25</v>
      </c>
      <c r="J21" s="17"/>
      <c r="K21" s="17"/>
      <c r="L21" s="17"/>
      <c r="M21" s="17"/>
    </row>
    <row r="22" ht="20.05" customHeight="1">
      <c r="B22" t="s" s="14">
        <v>18</v>
      </c>
      <c r="C22" s="15"/>
      <c r="D22" s="16"/>
      <c r="E22" s="16"/>
      <c r="F22" s="16"/>
      <c r="G22" s="16"/>
      <c r="H22" s="16"/>
      <c r="I22" s="16"/>
      <c r="J22" s="17"/>
      <c r="K22" s="17"/>
      <c r="L22" s="17"/>
      <c r="M22" s="17"/>
    </row>
    <row r="23" ht="20.05" customHeight="1">
      <c r="B23" t="s" s="9">
        <v>19</v>
      </c>
      <c r="C23" s="15">
        <f>C27-143.9</f>
        <v>7.5</v>
      </c>
      <c r="D23" s="16">
        <f>D27-C27</f>
        <v>7.5</v>
      </c>
      <c r="E23" s="16">
        <f>E27-D27</f>
        <v>7.4</v>
      </c>
      <c r="F23" s="16">
        <f>F27-E27</f>
        <v>7.7</v>
      </c>
      <c r="G23" s="16">
        <f>G27-F27</f>
        <v>7.3</v>
      </c>
      <c r="H23" s="16">
        <f>H27-G27</f>
        <v>7.7</v>
      </c>
      <c r="I23" s="16">
        <f>22.3-H23-G23</f>
        <v>7.3</v>
      </c>
      <c r="J23" s="17"/>
      <c r="K23" s="17"/>
      <c r="L23" s="17"/>
      <c r="M23" s="17"/>
    </row>
    <row r="24" ht="20.05" customHeight="1">
      <c r="B24" t="s" s="9">
        <v>20</v>
      </c>
      <c r="C24" s="15">
        <v>1.4</v>
      </c>
      <c r="D24" s="16">
        <v>-12.1</v>
      </c>
      <c r="E24" s="16">
        <v>-2.1</v>
      </c>
      <c r="F24" s="16">
        <v>-4.8</v>
      </c>
      <c r="G24" s="16">
        <v>-0.2</v>
      </c>
      <c r="H24" s="16">
        <v>1.3</v>
      </c>
      <c r="I24" s="16">
        <f>0.151-H24-G24</f>
        <v>-0.949</v>
      </c>
      <c r="J24" s="17"/>
      <c r="K24" s="17"/>
      <c r="L24" s="17"/>
      <c r="M24" s="17"/>
    </row>
    <row r="25" ht="20.05" customHeight="1">
      <c r="B25" t="s" s="14">
        <v>21</v>
      </c>
      <c r="C25" s="15"/>
      <c r="D25" s="16"/>
      <c r="E25" s="16"/>
      <c r="F25" s="16"/>
      <c r="G25" s="16"/>
      <c r="H25" s="16"/>
      <c r="I25" s="16"/>
      <c r="J25" s="17"/>
      <c r="K25" s="17"/>
      <c r="L25" s="17"/>
      <c r="M25" s="17"/>
    </row>
    <row r="26" ht="20.05" customHeight="1">
      <c r="B26" t="s" s="9">
        <v>44</v>
      </c>
      <c r="C26" s="15">
        <v>351.6</v>
      </c>
      <c r="D26" s="16">
        <v>332.3</v>
      </c>
      <c r="E26" s="16">
        <v>329.8</v>
      </c>
      <c r="F26" s="16">
        <v>322.1</v>
      </c>
      <c r="G26" s="16">
        <v>320.4</v>
      </c>
      <c r="H26" s="16">
        <v>308.4</v>
      </c>
      <c r="I26" s="16">
        <v>304.871</v>
      </c>
      <c r="J26" s="17"/>
      <c r="K26" s="17"/>
      <c r="L26" s="17"/>
      <c r="M26" s="17"/>
    </row>
    <row r="27" ht="20.05" customHeight="1">
      <c r="B27" t="s" s="9">
        <v>23</v>
      </c>
      <c r="C27" s="15">
        <v>151.4</v>
      </c>
      <c r="D27" s="16">
        <v>158.9</v>
      </c>
      <c r="E27" s="16">
        <v>166.3</v>
      </c>
      <c r="F27" s="16">
        <v>174</v>
      </c>
      <c r="G27" s="16">
        <v>181.3</v>
      </c>
      <c r="H27" s="16">
        <v>189</v>
      </c>
      <c r="I27" s="16">
        <v>196.136</v>
      </c>
      <c r="J27" s="17"/>
      <c r="K27" s="17"/>
      <c r="L27" s="17"/>
      <c r="M27" s="17"/>
    </row>
    <row r="28" ht="20.05" customHeight="1">
      <c r="B28" t="s" s="9">
        <v>22</v>
      </c>
      <c r="C28" s="15">
        <f>C26-C21</f>
        <v>344.46</v>
      </c>
      <c r="D28" s="16">
        <f>D26-D21</f>
        <v>329.96</v>
      </c>
      <c r="E28" s="16">
        <f>E26-E21</f>
        <v>324.1</v>
      </c>
      <c r="F28" s="16">
        <f>F26-F21</f>
        <v>317.4</v>
      </c>
      <c r="G28" s="16">
        <f>G26-G21</f>
        <v>311.4</v>
      </c>
      <c r="H28" s="16">
        <f>H26-H21</f>
        <v>302.4</v>
      </c>
      <c r="I28" s="16">
        <f>I26-I21</f>
        <v>293.621</v>
      </c>
      <c r="J28" s="17"/>
      <c r="K28" s="17"/>
      <c r="L28" s="17"/>
      <c r="M28" s="17"/>
    </row>
    <row r="29" ht="20.05" customHeight="1">
      <c r="B29" t="s" s="9">
        <v>10</v>
      </c>
      <c r="C29" s="15">
        <v>401.6</v>
      </c>
      <c r="D29" s="16">
        <v>394.5</v>
      </c>
      <c r="E29" s="16">
        <v>394.1</v>
      </c>
      <c r="F29" s="16">
        <v>391</v>
      </c>
      <c r="G29" s="16">
        <v>389.5</v>
      </c>
      <c r="H29" s="16">
        <v>376.2</v>
      </c>
      <c r="I29" s="16">
        <v>373.638</v>
      </c>
      <c r="J29" s="17"/>
      <c r="K29" s="17"/>
      <c r="L29" s="17"/>
      <c r="M29" s="17"/>
    </row>
    <row r="30" ht="20.05" customHeight="1">
      <c r="B30" t="s" s="9">
        <v>11</v>
      </c>
      <c r="C30" s="15">
        <v>-50.1</v>
      </c>
      <c r="D30" s="16">
        <v>-62.2</v>
      </c>
      <c r="E30" s="16">
        <v>-64.3</v>
      </c>
      <c r="F30" s="16">
        <v>-68.90000000000001</v>
      </c>
      <c r="G30" s="16">
        <v>-69.09999999999999</v>
      </c>
      <c r="H30" s="16">
        <v>-67.8</v>
      </c>
      <c r="I30" s="16">
        <v>-68.767</v>
      </c>
      <c r="J30" s="17"/>
      <c r="K30" s="17"/>
      <c r="L30" s="17"/>
      <c r="M30" s="17"/>
    </row>
    <row r="31" ht="20.05" customHeight="1">
      <c r="B31" t="s" s="9">
        <v>25</v>
      </c>
      <c r="C31" s="15">
        <f>C29+C30-C21-C28</f>
        <v>-0.1</v>
      </c>
      <c r="D31" s="16">
        <f>D29+D30-D21-D28</f>
        <v>0</v>
      </c>
      <c r="E31" s="16">
        <f>E29+E30-E21-E28</f>
        <v>0</v>
      </c>
      <c r="F31" s="16">
        <f>F29+F30-F21-F28</f>
        <v>0</v>
      </c>
      <c r="G31" s="16">
        <f>G29+G30-G21-G28</f>
        <v>0</v>
      </c>
      <c r="H31" s="16">
        <f>H29+H30-H21-H28</f>
        <v>0</v>
      </c>
      <c r="I31" s="16">
        <f>I29+I30-I21-I28</f>
        <v>0</v>
      </c>
      <c r="J31" s="17"/>
      <c r="K31" s="17"/>
      <c r="L31" s="17"/>
      <c r="M31" s="17"/>
    </row>
    <row r="32" ht="20.05" customHeight="1">
      <c r="B32" t="s" s="9">
        <v>26</v>
      </c>
      <c r="C32" s="15">
        <f>C21-C29</f>
        <v>-394.46</v>
      </c>
      <c r="D32" s="16">
        <f>D21-D29</f>
        <v>-392.16</v>
      </c>
      <c r="E32" s="16">
        <f>E21-E29</f>
        <v>-388.4</v>
      </c>
      <c r="F32" s="16">
        <f>F21-F29</f>
        <v>-386.3</v>
      </c>
      <c r="G32" s="16">
        <f>G21-G29</f>
        <v>-380.5</v>
      </c>
      <c r="H32" s="16">
        <f>H21-H29</f>
        <v>-370.2</v>
      </c>
      <c r="I32" s="16">
        <f>I21-I29</f>
        <v>-362.388</v>
      </c>
      <c r="J32" s="17"/>
      <c r="K32" s="17"/>
      <c r="L32" s="17"/>
      <c r="M32" s="17"/>
    </row>
    <row r="33" ht="20.05" customHeight="1">
      <c r="B33" t="s" s="9">
        <v>33</v>
      </c>
      <c r="C33" s="18"/>
      <c r="D33" s="17"/>
      <c r="E33" s="17"/>
      <c r="F33" s="17"/>
      <c r="G33" s="17"/>
      <c r="H33" s="17"/>
      <c r="I33" s="16">
        <f>I32</f>
        <v>-362.388</v>
      </c>
      <c r="J33" s="16">
        <f>'Model'!F30</f>
        <v>-329.236170060291</v>
      </c>
      <c r="K33" s="17"/>
      <c r="L33" s="17"/>
      <c r="M33" s="17"/>
    </row>
    <row r="34" ht="20.05" customHeight="1">
      <c r="B34" t="s" s="9">
        <v>28</v>
      </c>
      <c r="C34" s="15">
        <f>'Capital'!C12-C18</f>
        <v>-359.163</v>
      </c>
      <c r="D34" s="16">
        <f>C34-D18</f>
        <v>-354.863</v>
      </c>
      <c r="E34" s="16">
        <f>D34-E18</f>
        <v>-354.763</v>
      </c>
      <c r="F34" s="16">
        <f>E34-F18</f>
        <v>-352.763</v>
      </c>
      <c r="G34" s="16">
        <f>F34-G18</f>
        <v>-347.963</v>
      </c>
      <c r="H34" s="16">
        <f>G34-H18</f>
        <v>-341.363</v>
      </c>
      <c r="I34" s="16">
        <f>H34-I18</f>
        <v>-329.983</v>
      </c>
      <c r="J34" s="16">
        <f>'Model'!F32</f>
        <v>-295.816385800416</v>
      </c>
      <c r="K34" s="17"/>
      <c r="L34" s="17"/>
      <c r="M34" s="17"/>
    </row>
    <row r="35" ht="20.05" customHeight="1">
      <c r="B35" t="s" s="9">
        <v>37</v>
      </c>
      <c r="C35" s="12">
        <v>189</v>
      </c>
      <c r="D35" s="26">
        <v>191</v>
      </c>
      <c r="E35" s="26">
        <v>193</v>
      </c>
      <c r="F35" s="26">
        <v>184</v>
      </c>
      <c r="G35" s="26">
        <v>210</v>
      </c>
      <c r="H35" s="26">
        <v>189</v>
      </c>
      <c r="I35" s="26">
        <v>238</v>
      </c>
      <c r="J35" s="26">
        <v>228</v>
      </c>
      <c r="K35" s="17"/>
      <c r="L35" s="17"/>
      <c r="M35" s="17"/>
    </row>
    <row r="36" ht="20.05" customHeight="1">
      <c r="B36" t="s" s="9">
        <v>45</v>
      </c>
      <c r="C36" s="12"/>
      <c r="D36" s="26"/>
      <c r="E36" s="26"/>
      <c r="F36" s="26"/>
      <c r="G36" s="26"/>
      <c r="H36" s="26"/>
      <c r="I36" s="26"/>
      <c r="J36" s="26">
        <f>J35</f>
        <v>228</v>
      </c>
      <c r="K36" s="26">
        <f>'Model'!F42</f>
        <v>305.380856780326</v>
      </c>
      <c r="L36" s="17"/>
      <c r="M36" s="17"/>
    </row>
    <row r="37" ht="20.05" customHeight="1">
      <c r="B37" t="s" s="9">
        <v>46</v>
      </c>
      <c r="C37" s="12">
        <f>SUM(C12:C13)</f>
        <v>7.3</v>
      </c>
      <c r="D37" s="26">
        <f>SUM(D12:D13)</f>
        <v>-0.5</v>
      </c>
      <c r="E37" s="26">
        <f>SUM(E12:E13)</f>
        <v>3.6</v>
      </c>
      <c r="F37" s="26">
        <f>SUM(F12:F13)</f>
        <v>0.9</v>
      </c>
      <c r="G37" s="26">
        <f>SUM(G12:G13)</f>
        <v>9.1</v>
      </c>
      <c r="H37" s="26">
        <f>SUM(H12:H13)</f>
        <v>3.6</v>
      </c>
      <c r="I37" s="26">
        <f>SUM(I12:I13)</f>
        <v>16.63</v>
      </c>
      <c r="J37" s="17"/>
      <c r="K37" s="17"/>
      <c r="L37" s="17"/>
      <c r="M37" s="17"/>
    </row>
    <row r="38" ht="20.05" customHeight="1">
      <c r="B38" t="s" s="9">
        <v>47</v>
      </c>
      <c r="C38" s="12"/>
      <c r="D38" s="13"/>
      <c r="E38" s="13">
        <f>AVERAGE(C37:E37)</f>
        <v>3.46666666666667</v>
      </c>
      <c r="F38" s="13">
        <f>AVERAGE(D37:F37)</f>
        <v>1.33333333333333</v>
      </c>
      <c r="G38" s="13">
        <f>AVERAGE(E37:G37)</f>
        <v>4.53333333333333</v>
      </c>
      <c r="H38" s="13">
        <f>AVERAGE(F37:H37)</f>
        <v>4.53333333333333</v>
      </c>
      <c r="I38" s="13">
        <f>AVERAGE(G37:I37)</f>
        <v>9.776666666666671</v>
      </c>
      <c r="J38" s="13">
        <f>SUM('Model'!F9:F10)</f>
        <v>9.0651348444452</v>
      </c>
      <c r="K38" s="17"/>
      <c r="L38" s="17"/>
      <c r="M38" s="17"/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1953" style="27" customWidth="1"/>
    <col min="2" max="3" width="11.0703" style="27" customWidth="1"/>
    <col min="4" max="16384" width="16.3516" style="27" customWidth="1"/>
  </cols>
  <sheetData>
    <row r="1" ht="27.65" customHeight="1">
      <c r="A1" t="s" s="2">
        <v>48</v>
      </c>
      <c r="B1" s="2"/>
      <c r="C1" s="2"/>
    </row>
    <row r="2" ht="20.25" customHeight="1">
      <c r="A2" s="4"/>
      <c r="B2" s="4"/>
      <c r="C2" s="4"/>
    </row>
    <row r="3" ht="20.25" customHeight="1">
      <c r="A3" s="28">
        <v>2010</v>
      </c>
      <c r="B3" s="29"/>
      <c r="C3" s="25"/>
    </row>
    <row r="4" ht="20.05" customHeight="1">
      <c r="A4" s="30">
        <v>2011</v>
      </c>
      <c r="B4" s="18"/>
      <c r="C4" s="17"/>
    </row>
    <row r="5" ht="20.05" customHeight="1">
      <c r="A5" s="30">
        <v>2012</v>
      </c>
      <c r="B5" s="31">
        <v>-7.3</v>
      </c>
      <c r="C5" s="26">
        <f>-B5</f>
        <v>7.3</v>
      </c>
    </row>
    <row r="6" ht="20.05" customHeight="1">
      <c r="A6" s="30">
        <v>2013</v>
      </c>
      <c r="B6" s="12">
        <v>-5.237</v>
      </c>
      <c r="C6" s="26">
        <f>-B6+C5</f>
        <v>12.537</v>
      </c>
    </row>
    <row r="7" ht="20.05" customHeight="1">
      <c r="A7" s="30">
        <v>2014</v>
      </c>
      <c r="B7" s="31">
        <v>-5.1</v>
      </c>
      <c r="C7" s="26">
        <f>-B7+C6</f>
        <v>17.637</v>
      </c>
    </row>
    <row r="8" ht="20.05" customHeight="1">
      <c r="A8" s="30">
        <v>2015</v>
      </c>
      <c r="B8" s="31">
        <v>0.7</v>
      </c>
      <c r="C8" s="26">
        <f>-B8+C7</f>
        <v>16.937</v>
      </c>
    </row>
    <row r="9" ht="20.05" customHeight="1">
      <c r="A9" s="30">
        <v>2016</v>
      </c>
      <c r="B9" s="31">
        <v>6</v>
      </c>
      <c r="C9" s="26">
        <f>-B9+C8</f>
        <v>10.937</v>
      </c>
    </row>
    <row r="10" ht="20.05" customHeight="1">
      <c r="A10" s="30">
        <v>2017</v>
      </c>
      <c r="B10" s="31">
        <v>39</v>
      </c>
      <c r="C10" s="26">
        <f>-B10+C9</f>
        <v>-28.063</v>
      </c>
    </row>
    <row r="11" ht="20.05" customHeight="1">
      <c r="A11" s="30">
        <v>2018</v>
      </c>
      <c r="B11" s="31">
        <v>334</v>
      </c>
      <c r="C11" s="26">
        <f>-B11+C10</f>
        <v>-362.063</v>
      </c>
    </row>
    <row r="12" ht="20.05" customHeight="1">
      <c r="A12" s="30">
        <v>2019</v>
      </c>
      <c r="B12" s="31">
        <v>3</v>
      </c>
      <c r="C12" s="26">
        <f>-B12+C11</f>
        <v>-365.063</v>
      </c>
    </row>
    <row r="13" ht="20.05" customHeight="1">
      <c r="A13" s="30">
        <v>2020</v>
      </c>
      <c r="B13" s="31">
        <f>SUM('Data'!C18:F18)</f>
        <v>-12.3</v>
      </c>
      <c r="C13" s="26">
        <f>-B13+C12</f>
        <v>-352.763</v>
      </c>
    </row>
    <row r="14" ht="20.05" customHeight="1">
      <c r="A14" s="30">
        <v>2021</v>
      </c>
      <c r="B14" s="31">
        <f>SUM('Data'!G14:I15)</f>
        <v>-22.78</v>
      </c>
      <c r="C14" s="26">
        <f>-B14+C13</f>
        <v>-329.983</v>
      </c>
    </row>
    <row r="15" ht="20.05" customHeight="1">
      <c r="A15" s="32"/>
      <c r="B15" s="18"/>
      <c r="C15" s="17"/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