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<sst xmlns="http://schemas.openxmlformats.org/spreadsheetml/2006/main" uniqueCount="59">
  <si>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</si>
  <si>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</si>
  <si>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</si>
  <si>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>Cash flow</t>
  </si>
  <si>
    <t>Growth</t>
  </si>
  <si>
    <t>Sales</t>
  </si>
  <si>
    <t>Cost ratio</t>
  </si>
  <si>
    <t xml:space="preserve">Cash cost </t>
  </si>
  <si>
    <t>Operating</t>
  </si>
  <si>
    <t>Investment</t>
  </si>
  <si>
    <t>Leases</t>
  </si>
  <si>
    <t>Finance</t>
  </si>
  <si>
    <t xml:space="preserve">Liabilities </t>
  </si>
  <si>
    <t xml:space="preserve">Revolver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</si>
  <si>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</si>
  <si>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</si>
  <si>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</si>
  <si>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</si>
  <si>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</si>
  <si>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</si>
  <si>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</si>
  <si>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</si>
  <si>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</si>
  <si>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</si>
  <si>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</si>
  <si>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</si>
  <si>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</si>
  <si>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</si>
  <si>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</si>
  <si>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</si>
  <si>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</si>
  <si>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</si>
  <si>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</si>
  <si>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</si>
  <si>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</si>
  <si>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</si>
  <si>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</si>
  <si>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</si>
  <si>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</si>
  <si>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</si>
  <si>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</si>
  <si>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</si>
  <si>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</si>
  <si>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</si>
  <si>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Retail sales</t>
  </si>
  <si>
    <t xml:space="preserve">Sales growth </t>
  </si>
  <si>
    <t xml:space="preserve">Cost ratio </t>
  </si>
  <si>
    <t>Cashflow costs</t>
  </si>
  <si>
    <t xml:space="preserve">Profit </t>
  </si>
  <si>
    <t xml:space="preserve">Receipts </t>
  </si>
  <si>
    <t xml:space="preserve">Operating </t>
  </si>
  <si>
    <t>Capex</t>
  </si>
  <si>
    <t xml:space="preserve">Investment </t>
  </si>
  <si>
    <t xml:space="preserve">Free cashflow </t>
  </si>
  <si>
    <t>Assets</t>
  </si>
  <si>
    <t>Rp bn</t>
  </si>
  <si>
    <t>Cash</t>
  </si>
  <si>
    <t>Share price</t>
  </si>
  <si>
    <t>RALS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</si>
</sst>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3" borderId="3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3" fillId="5" borderId="6" applyNumberFormat="1" applyFont="1" applyFill="1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486124</xdr:colOff>
      <xdr:row>1</xdr:row>
      <xdr:rowOff>302886</xdr:rowOff>
    </xdr:from>
    <xdr:to>
      <xdr:col>13</xdr:col>
      <xdr:colOff>269224</xdr:colOff>
      <xdr:row>48</xdr:row>
      <xdr:rowOff>104636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69224" y="773421"/>
          <a:ext cx="8495301" cy="118934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3281" style="1" customWidth="1"/>
    <col min="2" max="2" width="14.7656" style="1" customWidth="1"/>
    <col min="3" max="6" width="8.125" style="1" customWidth="1"/>
    <col min="7" max="16384" width="16.3516" style="1" customWidth="1"/>
  </cols>
  <sheetData>
    <row r="1" ht="37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4">
        <v>2</v>
      </c>
      <c r="D3" s="5"/>
      <c r="E3" s="6"/>
      <c r="F3" s="5"/>
    </row>
    <row r="4" ht="20.3" customHeight="1">
      <c r="B4" t="s" s="7">
        <v>3</v>
      </c>
      <c r="C4" s="8">
        <f>AVERAGE('Sales'!E23:E26)</f>
        <v>0.227906998272437</v>
      </c>
      <c r="D4" s="9"/>
      <c r="E4" s="9"/>
      <c r="F4" s="10">
        <f>AVERAGE(C5:F5)</f>
        <v>0.595</v>
      </c>
    </row>
    <row r="5" ht="20.1" customHeight="1">
      <c r="B5" t="s" s="11">
        <v>4</v>
      </c>
      <c r="C5" s="12">
        <v>2</v>
      </c>
      <c r="D5" s="13">
        <v>-0.15</v>
      </c>
      <c r="E5" s="13">
        <v>0.5</v>
      </c>
      <c r="F5" s="13">
        <v>0.03</v>
      </c>
    </row>
    <row r="6" ht="20.1" customHeight="1">
      <c r="B6" t="s" s="11">
        <v>5</v>
      </c>
      <c r="C6" s="14">
        <f>'Sales'!C26*(1+C5)</f>
        <v>621.9</v>
      </c>
      <c r="D6" s="15">
        <f>C6*(1+D5)</f>
        <v>528.615</v>
      </c>
      <c r="E6" s="15">
        <f>D6*(1+E5)</f>
        <v>792.9225</v>
      </c>
      <c r="F6" s="15">
        <f>E6*(1+F5)</f>
        <v>816.710175</v>
      </c>
    </row>
    <row r="7" ht="20.1" customHeight="1">
      <c r="B7" t="s" s="11">
        <v>6</v>
      </c>
      <c r="C7" s="16">
        <f>AVERAGE('Sales'!F26)</f>
        <v>-0.844669561022672</v>
      </c>
      <c r="D7" s="17">
        <f>C7</f>
        <v>-0.844669561022672</v>
      </c>
      <c r="E7" s="17">
        <f>D7</f>
        <v>-0.844669561022672</v>
      </c>
      <c r="F7" s="17">
        <f>E7</f>
        <v>-0.844669561022672</v>
      </c>
    </row>
    <row r="8" ht="20.1" customHeight="1">
      <c r="B8" t="s" s="11">
        <v>7</v>
      </c>
      <c r="C8" s="18">
        <f>C7*C6</f>
        <v>-525.3</v>
      </c>
      <c r="D8" s="19">
        <f>D7*D6</f>
        <v>-446.505</v>
      </c>
      <c r="E8" s="19">
        <f>E7*E6</f>
        <v>-669.7575000000001</v>
      </c>
      <c r="F8" s="19">
        <f>F7*F6</f>
        <v>-689.850225</v>
      </c>
    </row>
    <row r="9" ht="20.1" customHeight="1">
      <c r="B9" t="s" s="11">
        <v>8</v>
      </c>
      <c r="C9" s="20">
        <f>C6+C8</f>
        <v>96.59999999999999</v>
      </c>
      <c r="D9" s="21">
        <f>D6+D8</f>
        <v>82.11</v>
      </c>
      <c r="E9" s="21">
        <f>E6+E8</f>
        <v>123.165</v>
      </c>
      <c r="F9" s="21">
        <f>F6+F8</f>
        <v>126.85995</v>
      </c>
    </row>
    <row r="10" ht="20.05" customHeight="1">
      <c r="B10" t="s" s="11">
        <v>9</v>
      </c>
      <c r="C10" s="20">
        <f>AVERAGE('Cashflow'!G25)</f>
        <v>-12.3</v>
      </c>
      <c r="D10" s="21">
        <f>C10</f>
        <v>-12.3</v>
      </c>
      <c r="E10" s="21">
        <f>D10</f>
        <v>-12.3</v>
      </c>
      <c r="F10" s="21">
        <f>E10</f>
        <v>-12.3</v>
      </c>
    </row>
    <row r="11" ht="20.1" customHeight="1">
      <c r="B11" t="s" s="11">
        <v>10</v>
      </c>
      <c r="C11" s="20">
        <f>'Cashflow'!H26</f>
        <v>-15.352</v>
      </c>
      <c r="D11" s="21">
        <f>C11</f>
        <v>-15.352</v>
      </c>
      <c r="E11" s="21">
        <f>D11</f>
        <v>-15.352</v>
      </c>
      <c r="F11" s="21">
        <f>E11</f>
        <v>-15.352</v>
      </c>
    </row>
    <row r="12" ht="20.1" customHeight="1">
      <c r="B12" t="s" s="11">
        <v>11</v>
      </c>
      <c r="C12" s="20">
        <f>C13+C15+C14</f>
        <v>-79.05</v>
      </c>
      <c r="D12" s="21">
        <f>D13+D15+D14</f>
        <v>-68.58750000000001</v>
      </c>
      <c r="E12" s="21">
        <f>E13+E15+E14</f>
        <v>-86.058375</v>
      </c>
      <c r="F12" s="21">
        <f>F13+F15+F14</f>
        <v>-85.00205625</v>
      </c>
    </row>
    <row r="13" ht="20.1" customHeight="1">
      <c r="B13" t="s" s="11">
        <v>12</v>
      </c>
      <c r="C13" s="20">
        <f>-('Balance sheet'!G30)/20</f>
        <v>-64.34999999999999</v>
      </c>
      <c r="D13" s="21">
        <f>-C27/20</f>
        <v>-61.1325</v>
      </c>
      <c r="E13" s="21">
        <f>-D27/20</f>
        <v>-58.075875</v>
      </c>
      <c r="F13" s="21">
        <f>-E27/20</f>
        <v>-55.17208125</v>
      </c>
    </row>
    <row r="14" ht="20.1" customHeight="1">
      <c r="B14" t="s" s="11">
        <v>13</v>
      </c>
      <c r="C14" s="20">
        <f>-MIN(0,C16)</f>
        <v>0</v>
      </c>
      <c r="D14" s="21">
        <f>-MIN(C28,D16)</f>
        <v>0</v>
      </c>
      <c r="E14" s="21">
        <f>-MIN(D28,E16)</f>
        <v>0</v>
      </c>
      <c r="F14" s="21">
        <f>-MIN(E28,F16)</f>
        <v>0</v>
      </c>
    </row>
    <row r="15" ht="20.1" customHeight="1">
      <c r="B15" t="s" s="11">
        <v>14</v>
      </c>
      <c r="C15" s="20">
        <f>IF(C22&gt;0,-C22*0.5,0)</f>
        <v>-14.7</v>
      </c>
      <c r="D15" s="21">
        <f>IF(D22&gt;0,-D22*0.5,0)</f>
        <v>-7.455</v>
      </c>
      <c r="E15" s="21">
        <f>IF(E22&gt;0,-E22*0.5,0)</f>
        <v>-27.9825</v>
      </c>
      <c r="F15" s="21">
        <f>IF(F22&gt;0,-F22*0.5,0)</f>
        <v>-29.829975</v>
      </c>
    </row>
    <row r="16" ht="20.05" customHeight="1">
      <c r="B16" t="s" s="11">
        <v>15</v>
      </c>
      <c r="C16" s="20">
        <f>C9+C10+C13+C15</f>
        <v>5.25</v>
      </c>
      <c r="D16" s="21">
        <f>D9+D10+D13+D15</f>
        <v>1.2225</v>
      </c>
      <c r="E16" s="21">
        <f>E9+E10+E13+E15</f>
        <v>24.806625</v>
      </c>
      <c r="F16" s="21">
        <f>F9+F10+F13+F15</f>
        <v>29.55789375</v>
      </c>
    </row>
    <row r="17" ht="20.1" customHeight="1">
      <c r="B17" t="s" s="11">
        <v>16</v>
      </c>
      <c r="C17" s="20">
        <f>'Balance sheet'!C30</f>
        <v>959</v>
      </c>
      <c r="D17" s="21">
        <f>C19</f>
        <v>964.25</v>
      </c>
      <c r="E17" s="21">
        <f>D19</f>
        <v>965.4725</v>
      </c>
      <c r="F17" s="21">
        <f>E19</f>
        <v>990.279125</v>
      </c>
    </row>
    <row r="18" ht="20.1" customHeight="1">
      <c r="B18" t="s" s="11">
        <v>17</v>
      </c>
      <c r="C18" s="20">
        <f>C9+C10+C12</f>
        <v>5.25</v>
      </c>
      <c r="D18" s="21">
        <f>D9+D10+D12</f>
        <v>1.2225</v>
      </c>
      <c r="E18" s="21">
        <f>E9+E10+E12</f>
        <v>24.806625</v>
      </c>
      <c r="F18" s="21">
        <f>F9+F10+F12</f>
        <v>29.55789375</v>
      </c>
    </row>
    <row r="19" ht="20.1" customHeight="1">
      <c r="B19" t="s" s="11">
        <v>18</v>
      </c>
      <c r="C19" s="20">
        <f>C17+C18</f>
        <v>964.25</v>
      </c>
      <c r="D19" s="21">
        <f>D17+D18</f>
        <v>965.4725</v>
      </c>
      <c r="E19" s="21">
        <f>E17+E18</f>
        <v>990.279125</v>
      </c>
      <c r="F19" s="21">
        <f>F17+F18</f>
        <v>1019.83701875</v>
      </c>
    </row>
    <row r="20" ht="20.1" customHeight="1">
      <c r="B20" t="s" s="22">
        <v>19</v>
      </c>
      <c r="C20" s="23"/>
      <c r="D20" s="24"/>
      <c r="E20" s="24"/>
      <c r="F20" s="25"/>
    </row>
    <row r="21" ht="20.1" customHeight="1">
      <c r="B21" t="s" s="11">
        <v>20</v>
      </c>
      <c r="C21" s="20">
        <f>-AVERAGE('Cashflow'!D26)</f>
        <v>-67.2</v>
      </c>
      <c r="D21" s="21">
        <f>C21</f>
        <v>-67.2</v>
      </c>
      <c r="E21" s="21">
        <f>D21</f>
        <v>-67.2</v>
      </c>
      <c r="F21" s="21">
        <f>E21</f>
        <v>-67.2</v>
      </c>
    </row>
    <row r="22" ht="20.1" customHeight="1">
      <c r="B22" t="s" s="11">
        <v>21</v>
      </c>
      <c r="C22" s="20">
        <f>C6+C8+C21</f>
        <v>29.4</v>
      </c>
      <c r="D22" s="21">
        <f>D6+D8+D21</f>
        <v>14.91</v>
      </c>
      <c r="E22" s="21">
        <f>E6+E8+E21</f>
        <v>55.965</v>
      </c>
      <c r="F22" s="21">
        <f>F6+F8+F21</f>
        <v>59.65995</v>
      </c>
    </row>
    <row r="23" ht="20.1" customHeight="1">
      <c r="B23" t="s" s="22">
        <v>22</v>
      </c>
      <c r="C23" s="23"/>
      <c r="D23" s="24"/>
      <c r="E23" s="24"/>
      <c r="F23" s="25"/>
    </row>
    <row r="24" ht="20.1" customHeight="1">
      <c r="B24" t="s" s="11">
        <v>23</v>
      </c>
      <c r="C24" s="20">
        <f>'Balance sheet'!E30+'Balance sheet'!F30-C10</f>
        <v>7207.3</v>
      </c>
      <c r="D24" s="21">
        <f>C24-D10</f>
        <v>7219.6</v>
      </c>
      <c r="E24" s="21">
        <f>D24-E10</f>
        <v>7231.9</v>
      </c>
      <c r="F24" s="21">
        <f>E24-F10</f>
        <v>7244.2</v>
      </c>
    </row>
    <row r="25" ht="20.1" customHeight="1">
      <c r="B25" t="s" s="11">
        <v>24</v>
      </c>
      <c r="C25" s="20">
        <f>'Balance sheet'!F30-C21</f>
        <v>3362.2</v>
      </c>
      <c r="D25" s="21">
        <f>C25-D21</f>
        <v>3429.4</v>
      </c>
      <c r="E25" s="21">
        <f>D25-E21</f>
        <v>3496.6</v>
      </c>
      <c r="F25" s="21">
        <f>E25-F21</f>
        <v>3563.8</v>
      </c>
    </row>
    <row r="26" ht="20.1" customHeight="1">
      <c r="B26" t="s" s="11">
        <v>25</v>
      </c>
      <c r="C26" s="20">
        <f>C24-C25</f>
        <v>3845.1</v>
      </c>
      <c r="D26" s="21">
        <f>D24-D25</f>
        <v>3790.2</v>
      </c>
      <c r="E26" s="21">
        <f>E24-E25</f>
        <v>3735.3</v>
      </c>
      <c r="F26" s="21">
        <f>F24-F25</f>
        <v>3680.4</v>
      </c>
    </row>
    <row r="27" ht="20.1" customHeight="1">
      <c r="B27" t="s" s="11">
        <v>12</v>
      </c>
      <c r="C27" s="20">
        <f>'Balance sheet'!G30+C13</f>
        <v>1222.65</v>
      </c>
      <c r="D27" s="21">
        <f>C27+D13</f>
        <v>1161.5175</v>
      </c>
      <c r="E27" s="21">
        <f>D27+E13</f>
        <v>1103.441625</v>
      </c>
      <c r="F27" s="21">
        <f>E27+F13</f>
        <v>1048.26954375</v>
      </c>
    </row>
    <row r="28" ht="20.1" customHeight="1">
      <c r="B28" t="s" s="11">
        <v>13</v>
      </c>
      <c r="C28" s="20">
        <f>C14</f>
        <v>0</v>
      </c>
      <c r="D28" s="21">
        <f>C28+D14</f>
        <v>0</v>
      </c>
      <c r="E28" s="21">
        <f>D28+E14</f>
        <v>0</v>
      </c>
      <c r="F28" s="21">
        <f>E28+F14</f>
        <v>0</v>
      </c>
    </row>
    <row r="29" ht="20.1" customHeight="1">
      <c r="B29" t="s" s="11">
        <v>26</v>
      </c>
      <c r="C29" s="20">
        <f>'Balance sheet'!H30+C22+C15</f>
        <v>3586.7</v>
      </c>
      <c r="D29" s="21">
        <f>C29+D22+D15</f>
        <v>3594.155</v>
      </c>
      <c r="E29" s="21">
        <f>D29+E22+E15</f>
        <v>3622.1375</v>
      </c>
      <c r="F29" s="21">
        <f>E29+F22+F15</f>
        <v>3651.967475</v>
      </c>
    </row>
    <row r="30" ht="20.1" customHeight="1">
      <c r="B30" t="s" s="11">
        <v>27</v>
      </c>
      <c r="C30" s="20">
        <f>C27+C28+C29-C19-C26</f>
        <v>0</v>
      </c>
      <c r="D30" s="21">
        <f>D27+D28+D29-D19-D26</f>
        <v>0</v>
      </c>
      <c r="E30" s="21">
        <f>E27+E28+E29-E19-E26</f>
        <v>0</v>
      </c>
      <c r="F30" s="21">
        <f>F27+F28+F29-F19-F26</f>
        <v>0</v>
      </c>
    </row>
    <row r="31" ht="20.1" customHeight="1">
      <c r="B31" t="s" s="11">
        <v>28</v>
      </c>
      <c r="C31" s="20">
        <f>C19-C27-C28</f>
        <v>-258.4</v>
      </c>
      <c r="D31" s="21">
        <f>D19-D27-D28</f>
        <v>-196.045</v>
      </c>
      <c r="E31" s="21">
        <f>E19-E27-E28</f>
        <v>-113.1625</v>
      </c>
      <c r="F31" s="21">
        <f>F19-F27-F28</f>
        <v>-28.432525</v>
      </c>
    </row>
    <row r="32" ht="20.1" customHeight="1">
      <c r="B32" t="s" s="22">
        <v>29</v>
      </c>
      <c r="C32" s="20"/>
      <c r="D32" s="21"/>
      <c r="E32" s="21"/>
      <c r="F32" s="21"/>
    </row>
    <row r="33" ht="20.1" customHeight="1">
      <c r="B33" t="s" s="11">
        <v>30</v>
      </c>
      <c r="C33" s="20">
        <f>'Cashflow'!O26-(C12-C11)</f>
        <v>2258.618</v>
      </c>
      <c r="D33" s="21">
        <f>C33-(D12-D11)</f>
        <v>2311.8535</v>
      </c>
      <c r="E33" s="21">
        <f>D33-(E12-E11)</f>
        <v>2382.559875</v>
      </c>
      <c r="F33" s="21">
        <f>E33-(F12-F11)</f>
        <v>2452.20993125</v>
      </c>
    </row>
    <row r="34" ht="20.1" customHeight="1">
      <c r="B34" t="s" s="11">
        <v>31</v>
      </c>
      <c r="C34" s="20"/>
      <c r="D34" s="21"/>
      <c r="E34" s="21"/>
      <c r="F34" s="21">
        <v>4928</v>
      </c>
    </row>
    <row r="35" ht="20.1" customHeight="1">
      <c r="B35" t="s" s="11">
        <v>32</v>
      </c>
      <c r="C35" s="20"/>
      <c r="D35" s="21"/>
      <c r="E35" s="21"/>
      <c r="F35" s="26">
        <f>F34/(F19+F26)</f>
        <v>1.0484577650747</v>
      </c>
    </row>
    <row r="36" ht="20.1" customHeight="1">
      <c r="B36" t="s" s="11">
        <v>33</v>
      </c>
      <c r="C36" s="20"/>
      <c r="D36" s="21"/>
      <c r="E36" s="21"/>
      <c r="F36" s="17">
        <f>-(C15+D15+E15+F15)/F34</f>
        <v>0.0162271661931818</v>
      </c>
    </row>
    <row r="37" ht="20.1" customHeight="1">
      <c r="B37" t="s" s="11">
        <v>34</v>
      </c>
      <c r="C37" s="20"/>
      <c r="D37" s="21"/>
      <c r="E37" s="21"/>
      <c r="F37" s="21">
        <f>SUM(C9:F11)</f>
        <v>318.12695</v>
      </c>
    </row>
    <row r="38" ht="20.1" customHeight="1">
      <c r="B38" t="s" s="11">
        <v>35</v>
      </c>
      <c r="C38" s="20"/>
      <c r="D38" s="21"/>
      <c r="E38" s="21"/>
      <c r="F38" s="21">
        <f>'Balance sheet'!E30/F37</f>
        <v>12.2592568784254</v>
      </c>
    </row>
    <row r="39" ht="20.1" customHeight="1">
      <c r="B39" t="s" s="11">
        <v>29</v>
      </c>
      <c r="C39" s="20"/>
      <c r="D39" s="21"/>
      <c r="E39" s="21"/>
      <c r="F39" s="21">
        <f>F34/F37</f>
        <v>15.4906712556104</v>
      </c>
    </row>
    <row r="40" ht="20.1" customHeight="1">
      <c r="B40" t="s" s="11">
        <v>36</v>
      </c>
      <c r="C40" s="20"/>
      <c r="D40" s="21"/>
      <c r="E40" s="21"/>
      <c r="F40" s="21">
        <v>25</v>
      </c>
    </row>
    <row r="41" ht="20.1" customHeight="1">
      <c r="B41" t="s" s="11">
        <v>37</v>
      </c>
      <c r="C41" s="20"/>
      <c r="D41" s="21"/>
      <c r="E41" s="21"/>
      <c r="F41" s="21">
        <f>F37*F40</f>
        <v>7953.17375</v>
      </c>
    </row>
    <row r="42" ht="20.1" customHeight="1">
      <c r="B42" t="s" s="11">
        <v>38</v>
      </c>
      <c r="C42" s="20"/>
      <c r="D42" s="21"/>
      <c r="E42" s="21"/>
      <c r="F42" s="21">
        <f>F34/F44</f>
        <v>6.44183006535948</v>
      </c>
    </row>
    <row r="43" ht="20.1" customHeight="1">
      <c r="B43" t="s" s="11">
        <v>39</v>
      </c>
      <c r="C43" s="20"/>
      <c r="D43" s="21"/>
      <c r="E43" s="21"/>
      <c r="F43" s="21">
        <f>F41/F42</f>
        <v>1234.614025720370</v>
      </c>
    </row>
    <row r="44" ht="20.1" customHeight="1">
      <c r="B44" t="s" s="11">
        <v>40</v>
      </c>
      <c r="C44" s="20"/>
      <c r="D44" s="21"/>
      <c r="E44" s="21"/>
      <c r="F44" s="21">
        <f>'Share price'!C74</f>
        <v>765</v>
      </c>
    </row>
    <row r="45" ht="20.1" customHeight="1">
      <c r="B45" t="s" s="11">
        <v>41</v>
      </c>
      <c r="C45" s="20"/>
      <c r="D45" s="21"/>
      <c r="E45" s="21"/>
      <c r="F45" s="17">
        <f>F43/F44-1</f>
        <v>0.61387454342532</v>
      </c>
    </row>
    <row r="46" ht="20.1" customHeight="1">
      <c r="B46" t="s" s="11">
        <v>42</v>
      </c>
      <c r="C46" s="20"/>
      <c r="D46" s="21"/>
      <c r="E46" s="21"/>
      <c r="F46" s="17">
        <f>'Sales'!C26/'Sales'!C22-1</f>
        <v>-0.391903784100909</v>
      </c>
    </row>
    <row r="47" ht="20.1" customHeight="1">
      <c r="B47" t="s" s="11">
        <v>43</v>
      </c>
      <c r="C47" s="20"/>
      <c r="D47" s="21"/>
      <c r="E47" s="21"/>
      <c r="F47" s="17">
        <f>('Sales'!D24+'Sales'!D25+'Sales'!D26)/('Sales'!C24+'Sales'!C25+'Sales'!C26)-1</f>
        <v>0.45251030110935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7188" style="27" customWidth="1"/>
    <col min="2" max="2" width="9.28125" style="27" customWidth="1"/>
    <col min="3" max="8" width="11.8125" style="27" customWidth="1"/>
    <col min="9" max="16384" width="16.3516" style="27" customWidth="1"/>
  </cols>
  <sheetData>
    <row r="1" ht="7.8" customHeight="1"/>
    <row r="2" ht="27.65" customHeight="1">
      <c r="B2" t="s" s="2">
        <v>5</v>
      </c>
      <c r="C2" s="2"/>
      <c r="D2" s="2"/>
      <c r="E2" s="2"/>
      <c r="F2" s="2"/>
      <c r="G2" s="2"/>
      <c r="H2" s="2"/>
    </row>
    <row r="3" ht="32.25" customHeight="1">
      <c r="B3" t="s" s="4">
        <v>1</v>
      </c>
      <c r="C3" t="s" s="4">
        <v>44</v>
      </c>
      <c r="D3" t="s" s="4">
        <v>36</v>
      </c>
      <c r="E3" t="s" s="4">
        <v>45</v>
      </c>
      <c r="F3" t="s" s="4">
        <v>46</v>
      </c>
      <c r="G3" t="s" s="4">
        <v>47</v>
      </c>
      <c r="H3" t="s" s="4">
        <v>47</v>
      </c>
    </row>
    <row r="4" ht="20.25" customHeight="1">
      <c r="B4" s="28">
        <v>2016</v>
      </c>
      <c r="C4" s="29">
        <v>957.5700000000001</v>
      </c>
      <c r="D4" s="9"/>
      <c r="E4" s="30"/>
      <c r="F4" s="30">
        <f>('Cashflow'!C4+'Cashflow'!D4-C4)/C4</f>
        <v>-0.869147947408545</v>
      </c>
      <c r="G4" s="30"/>
      <c r="H4" s="30">
        <f>('Cashflow'!F4-'Cashflow'!E4)/'Cashflow'!E4</f>
        <v>-1.18175629680054</v>
      </c>
    </row>
    <row r="5" ht="20.05" customHeight="1">
      <c r="B5" s="31"/>
      <c r="C5" s="14">
        <v>1807.98</v>
      </c>
      <c r="D5" s="25"/>
      <c r="E5" s="17">
        <f>C5/C4-1</f>
        <v>0.888091732197124</v>
      </c>
      <c r="F5" s="17">
        <f>('Cashflow'!C5+'Cashflow'!D5-C5)/C5</f>
        <v>-0.852542616621865</v>
      </c>
      <c r="G5" s="17"/>
      <c r="H5" s="17">
        <f>('Cashflow'!F5-'Cashflow'!E5)/'Cashflow'!E5</f>
        <v>-0.63823230612936</v>
      </c>
    </row>
    <row r="6" ht="20.05" customHeight="1">
      <c r="B6" s="31"/>
      <c r="C6" s="14">
        <v>1187.03</v>
      </c>
      <c r="D6" s="25"/>
      <c r="E6" s="17">
        <f>C6/C5-1</f>
        <v>-0.343449595681368</v>
      </c>
      <c r="F6" s="17">
        <f>('Cashflow'!C6+'Cashflow'!D6-C6)/C6</f>
        <v>-0.845286134301576</v>
      </c>
      <c r="G6" s="17"/>
      <c r="H6" s="17">
        <f>('Cashflow'!F6-'Cashflow'!E6)/'Cashflow'!E6</f>
        <v>-1.20709990627534</v>
      </c>
    </row>
    <row r="7" ht="20.05" customHeight="1">
      <c r="B7" s="31"/>
      <c r="C7" s="14">
        <v>1140.17</v>
      </c>
      <c r="D7" s="25"/>
      <c r="E7" s="17">
        <f>C7/C6-1</f>
        <v>-0.0394766770848252</v>
      </c>
      <c r="F7" s="17">
        <f>('Cashflow'!C7+'Cashflow'!D7-C7)/C7</f>
        <v>-0.864186919494461</v>
      </c>
      <c r="G7" s="17"/>
      <c r="H7" s="17">
        <f>('Cashflow'!F7-'Cashflow'!E7)/'Cashflow'!E7</f>
        <v>-0.815980959570542</v>
      </c>
    </row>
    <row r="8" ht="20.05" customHeight="1">
      <c r="B8" s="32">
        <v>2017</v>
      </c>
      <c r="C8" s="14">
        <v>934.23</v>
      </c>
      <c r="D8" s="25"/>
      <c r="E8" s="17">
        <f>C8/C7-1</f>
        <v>-0.180622187919345</v>
      </c>
      <c r="F8" s="17">
        <f>('Cashflow'!C8+'Cashflow'!D8-C8)/C8</f>
        <v>-0.910771437440459</v>
      </c>
      <c r="G8" s="17">
        <f>AVERAGE(H5:H8)</f>
        <v>-0.955565291018828</v>
      </c>
      <c r="H8" s="17">
        <f>('Cashflow'!F8-'Cashflow'!E8)/'Cashflow'!E8</f>
        <v>-1.16094799210007</v>
      </c>
    </row>
    <row r="9" ht="20.05" customHeight="1">
      <c r="B9" s="31"/>
      <c r="C9" s="14">
        <v>2038.25</v>
      </c>
      <c r="D9" s="25"/>
      <c r="E9" s="17">
        <f>C9/C8-1</f>
        <v>1.1817432538026</v>
      </c>
      <c r="F9" s="17">
        <f>('Cashflow'!C9+'Cashflow'!D9-C9)/C9</f>
        <v>-0.782097387464737</v>
      </c>
      <c r="G9" s="17">
        <f>AVERAGE(H6:H9)</f>
        <v>-0.926939437612877</v>
      </c>
      <c r="H9" s="17">
        <f>('Cashflow'!F9-'Cashflow'!E9)/'Cashflow'!E9</f>
        <v>-0.523728892505555</v>
      </c>
    </row>
    <row r="10" ht="20.05" customHeight="1">
      <c r="B10" s="31"/>
      <c r="C10" s="14">
        <v>786.3200000000001</v>
      </c>
      <c r="D10" s="25"/>
      <c r="E10" s="17">
        <f>C10/C9-1</f>
        <v>-0.614218079234638</v>
      </c>
      <c r="F10" s="17">
        <f>('Cashflow'!C10+'Cashflow'!D10-C10)/C10</f>
        <v>-0.907327805473599</v>
      </c>
      <c r="G10" s="17">
        <f>AVERAGE(H7:H10)</f>
        <v>-1.09041885723523</v>
      </c>
      <c r="H10" s="17">
        <f>('Cashflow'!F10-'Cashflow'!E10)/'Cashflow'!E10</f>
        <v>-1.86101758476476</v>
      </c>
    </row>
    <row r="11" ht="20.05" customHeight="1">
      <c r="B11" s="31"/>
      <c r="C11" s="14">
        <v>1027.7</v>
      </c>
      <c r="D11" s="25"/>
      <c r="E11" s="17">
        <f>C11/C10-1</f>
        <v>0.306974259843321</v>
      </c>
      <c r="F11" s="17">
        <f>('Cashflow'!C11+'Cashflow'!D11-C11)/C11</f>
        <v>-0.890036002724531</v>
      </c>
      <c r="G11" s="17">
        <f>AVERAGE(H8:H11)</f>
        <v>-1.0775606041115</v>
      </c>
      <c r="H11" s="17">
        <f>('Cashflow'!F11-'Cashflow'!E11)/'Cashflow'!E11</f>
        <v>-0.764547947075621</v>
      </c>
    </row>
    <row r="12" ht="20.05" customHeight="1">
      <c r="B12" s="32">
        <v>2018</v>
      </c>
      <c r="C12" s="14">
        <v>893.4</v>
      </c>
      <c r="D12" s="25"/>
      <c r="E12" s="17">
        <f>C12/C11-1</f>
        <v>-0.130680159579644</v>
      </c>
      <c r="F12" s="17">
        <f>('Cashflow'!C12+'Cashflow'!D12-C12)/C12</f>
        <v>-0.898959032907992</v>
      </c>
      <c r="G12" s="17">
        <f>AVERAGE(H9:H12)</f>
        <v>-1.07409027275315</v>
      </c>
      <c r="H12" s="17">
        <f>('Cashflow'!F12-'Cashflow'!E12)/'Cashflow'!E12</f>
        <v>-1.14706666666667</v>
      </c>
    </row>
    <row r="13" ht="20.05" customHeight="1">
      <c r="B13" s="31"/>
      <c r="C13" s="14">
        <v>2018.17</v>
      </c>
      <c r="D13" s="25"/>
      <c r="E13" s="17">
        <f>C13/C12-1</f>
        <v>1.25897694201925</v>
      </c>
      <c r="F13" s="17">
        <f>('Cashflow'!C13+'Cashflow'!D13-C13)/C13</f>
        <v>-0.721019537501796</v>
      </c>
      <c r="G13" s="17">
        <f>AVERAGE(H10:H13)</f>
        <v>-1.07402293752153</v>
      </c>
      <c r="H13" s="17">
        <f>('Cashflow'!F13-'Cashflow'!E13)/'Cashflow'!E13</f>
        <v>-0.523459551579059</v>
      </c>
    </row>
    <row r="14" ht="20.05" customHeight="1">
      <c r="B14" s="31"/>
      <c r="C14" s="14">
        <v>826.4299999999999</v>
      </c>
      <c r="D14" s="25"/>
      <c r="E14" s="17">
        <f>C14/C13-1</f>
        <v>-0.590505259715485</v>
      </c>
      <c r="F14" s="17">
        <f>('Cashflow'!C14+'Cashflow'!D14-C14)/C14</f>
        <v>-0.858947521266169</v>
      </c>
      <c r="G14" s="17">
        <f>AVERAGE(H11:H14)</f>
        <v>-1.04951455499776</v>
      </c>
      <c r="H14" s="17">
        <f>('Cashflow'!F14-'Cashflow'!E14)/'Cashflow'!E14</f>
        <v>-1.7629840546697</v>
      </c>
    </row>
    <row r="15" ht="20.05" customHeight="1">
      <c r="B15" s="31"/>
      <c r="C15" s="14">
        <v>1067.1</v>
      </c>
      <c r="D15" s="25"/>
      <c r="E15" s="17">
        <f>C15/C14-1</f>
        <v>0.291216436963808</v>
      </c>
      <c r="F15" s="17">
        <f>('Cashflow'!C15+'Cashflow'!D15-C15)/C15</f>
        <v>-0.885737044325743</v>
      </c>
      <c r="G15" s="17">
        <f>AVERAGE(H12:H15)</f>
        <v>-1.06957611220402</v>
      </c>
      <c r="H15" s="17">
        <f>('Cashflow'!F15-'Cashflow'!E15)/'Cashflow'!E15</f>
        <v>-0.844794175900648</v>
      </c>
    </row>
    <row r="16" ht="20.05" customHeight="1">
      <c r="B16" s="32">
        <v>2019</v>
      </c>
      <c r="C16" s="14">
        <v>876.7</v>
      </c>
      <c r="D16" s="25"/>
      <c r="E16" s="17">
        <f>C16/C15-1</f>
        <v>-0.17842751382251</v>
      </c>
      <c r="F16" s="17">
        <f>('Cashflow'!C16+'Cashflow'!D16-C16)/C16</f>
        <v>-0.825481920839512</v>
      </c>
      <c r="G16" s="17">
        <f>AVERAGE(H13:H16)</f>
        <v>-1.07557769309874</v>
      </c>
      <c r="H16" s="17">
        <f>('Cashflow'!F16-'Cashflow'!E16)/'Cashflow'!E16</f>
        <v>-1.17107299024554</v>
      </c>
    </row>
    <row r="17" ht="20.05" customHeight="1">
      <c r="B17" s="31"/>
      <c r="C17" s="14">
        <v>1985</v>
      </c>
      <c r="D17" s="25"/>
      <c r="E17" s="17">
        <f>C17/C16-1</f>
        <v>1.26417246492529</v>
      </c>
      <c r="F17" s="17">
        <f>('Cashflow'!C17+'Cashflow'!D17-C17)/C17</f>
        <v>-0.706549118387909</v>
      </c>
      <c r="G17" s="17">
        <f>AVERAGE(H14:H17)</f>
        <v>-1.06864307041871</v>
      </c>
      <c r="H17" s="17">
        <f>('Cashflow'!F17-'Cashflow'!E17)/'Cashflow'!E17</f>
        <v>-0.495721060858967</v>
      </c>
    </row>
    <row r="18" ht="20.05" customHeight="1">
      <c r="B18" s="31"/>
      <c r="C18" s="14">
        <v>756.3</v>
      </c>
      <c r="D18" s="25"/>
      <c r="E18" s="17">
        <f>C18/C17-1</f>
        <v>-0.618992443324937</v>
      </c>
      <c r="F18" s="17">
        <f>('Cashflow'!C18+'Cashflow'!D18-C18)/C18</f>
        <v>-0.8775618140949361</v>
      </c>
      <c r="G18" s="17">
        <f>AVERAGE(H15:H18)</f>
        <v>-1.00820799092659</v>
      </c>
      <c r="H18" s="17">
        <f>('Cashflow'!F18-'Cashflow'!E18)/'Cashflow'!E18</f>
        <v>-1.52124373670121</v>
      </c>
    </row>
    <row r="19" ht="20.05" customHeight="1">
      <c r="B19" s="31"/>
      <c r="C19" s="14">
        <v>961</v>
      </c>
      <c r="D19" s="25"/>
      <c r="E19" s="17">
        <f>C19/C18-1</f>
        <v>0.270659791088193</v>
      </c>
      <c r="F19" s="17">
        <f>('Cashflow'!C19+'Cashflow'!D19-C19)/C19</f>
        <v>-0.873465140478668</v>
      </c>
      <c r="G19" s="17">
        <f>AVERAGE(H16:H19)</f>
        <v>-1.02129468723236</v>
      </c>
      <c r="H19" s="17">
        <f>('Cashflow'!F19-'Cashflow'!E19)/'Cashflow'!E19</f>
        <v>-0.897140961123707</v>
      </c>
    </row>
    <row r="20" ht="20.05" customHeight="1">
      <c r="B20" s="32">
        <v>2020</v>
      </c>
      <c r="C20" s="14">
        <v>768.3</v>
      </c>
      <c r="D20" s="25"/>
      <c r="E20" s="17">
        <f>C20/C19-1</f>
        <v>-0.200520291363163</v>
      </c>
      <c r="F20" s="17">
        <f>('Cashflow'!C20+'Cashflow'!D20-C20)/C20</f>
        <v>-0.814004945984641</v>
      </c>
      <c r="G20" s="17">
        <f>AVERAGE(H17:H20)</f>
        <v>-1.00775279001415</v>
      </c>
      <c r="H20" s="17">
        <f>('Cashflow'!F20-'Cashflow'!E20)/'Cashflow'!E20</f>
        <v>-1.11690540137272</v>
      </c>
    </row>
    <row r="21" ht="20.05" customHeight="1">
      <c r="B21" s="31"/>
      <c r="C21" s="14">
        <v>457.8</v>
      </c>
      <c r="D21" s="25"/>
      <c r="E21" s="17">
        <f>C21/C20-1</f>
        <v>-0.404139008199922</v>
      </c>
      <c r="F21" s="17">
        <f>('Cashflow'!C21+'Cashflow'!D21-C21)/C21</f>
        <v>-0.867190913062473</v>
      </c>
      <c r="G21" s="17">
        <f>AVERAGE(H18:H21)</f>
        <v>-1.13134669362752</v>
      </c>
      <c r="H21" s="17">
        <f>('Cashflow'!F21-'Cashflow'!E21)/'Cashflow'!E21</f>
        <v>-0.990096675312426</v>
      </c>
    </row>
    <row r="22" ht="20.05" customHeight="1">
      <c r="B22" s="31"/>
      <c r="C22" s="14">
        <v>340.9</v>
      </c>
      <c r="D22" s="25"/>
      <c r="E22" s="17">
        <f>C22/C21-1</f>
        <v>-0.255351681957187</v>
      </c>
      <c r="F22" s="17">
        <f>('Cashflow'!C22+'Cashflow'!D22-C22)/C22</f>
        <v>-0.986212965679085</v>
      </c>
      <c r="G22" s="17">
        <f>AVERAGE(H19:H22)</f>
        <v>-1.03401495378599</v>
      </c>
      <c r="H22" s="17">
        <f>('Cashflow'!F22-'Cashflow'!E22)/'Cashflow'!E22</f>
        <v>-1.1319167773351</v>
      </c>
    </row>
    <row r="23" ht="20.05" customHeight="1">
      <c r="B23" s="31"/>
      <c r="C23" s="14">
        <f>2061.7-SUM(C20:C22)</f>
        <v>494.7</v>
      </c>
      <c r="D23" s="25"/>
      <c r="E23" s="17">
        <f>C23/C22-1</f>
        <v>0.451158697565268</v>
      </c>
      <c r="F23" s="17">
        <f>('Cashflow'!C23+'Cashflow'!D23-C23)/C23</f>
        <v>-0.79805942995755</v>
      </c>
      <c r="G23" s="17">
        <f>AVERAGE(H20:H23)</f>
        <v>-0.9577457858305261</v>
      </c>
      <c r="H23" s="17">
        <f>('Cashflow'!F23-'Cashflow'!E23)/'Cashflow'!E23</f>
        <v>-0.5920642893018579</v>
      </c>
    </row>
    <row r="24" ht="20.05" customHeight="1">
      <c r="B24" s="32">
        <v>2021</v>
      </c>
      <c r="C24" s="14">
        <v>398</v>
      </c>
      <c r="D24" s="24">
        <v>469.965</v>
      </c>
      <c r="E24" s="17">
        <f>C24/C23-1</f>
        <v>-0.195472003234283</v>
      </c>
      <c r="F24" s="17">
        <f>('Cashflow'!C24+'Cashflow'!D24-C24)/C24</f>
        <v>-0.914572864321608</v>
      </c>
      <c r="G24" s="17">
        <f>AVERAGE(H21:H24)</f>
        <v>-0.984548269039116</v>
      </c>
      <c r="H24" s="17">
        <f>('Cashflow'!F24-'Cashflow'!E24)/'Cashflow'!E24</f>
        <v>-1.22411533420708</v>
      </c>
    </row>
    <row r="25" ht="20.05" customHeight="1">
      <c r="B25" s="31"/>
      <c r="C25" s="14">
        <f>1370.2-C24</f>
        <v>972.2</v>
      </c>
      <c r="D25" s="24">
        <v>995</v>
      </c>
      <c r="E25" s="17">
        <f>C25/C24-1</f>
        <v>1.4427135678392</v>
      </c>
      <c r="F25" s="17">
        <f>('Cashflow'!C25+'Cashflow'!D25-C25)/C25</f>
        <v>-0.663855173832545</v>
      </c>
      <c r="G25" s="17">
        <f>AVERAGE(H22:H25)</f>
        <v>-0.915676607526114</v>
      </c>
      <c r="H25" s="17">
        <f>('Cashflow'!F25-'Cashflow'!E25)/'Cashflow'!E25</f>
        <v>-0.7146100292604179</v>
      </c>
    </row>
    <row r="26" ht="20.05" customHeight="1">
      <c r="B26" s="31"/>
      <c r="C26" s="14">
        <f>1577.5-SUM(C24:C25)</f>
        <v>207.3</v>
      </c>
      <c r="D26" s="24">
        <v>826.37</v>
      </c>
      <c r="E26" s="17">
        <f>C26/C25-1</f>
        <v>-0.786772269080436</v>
      </c>
      <c r="F26" s="17">
        <f>('Cashflow'!C26+'Cashflow'!D26-C26)/C26</f>
        <v>-0.844669561022672</v>
      </c>
      <c r="G26" s="17">
        <f>AVERAGE(H23:H26)</f>
        <v>-0.913363922291842</v>
      </c>
      <c r="H26" s="17">
        <f>('Cashflow'!F26-'Cashflow'!E26)/'Cashflow'!E26</f>
        <v>-1.12266603639801</v>
      </c>
    </row>
    <row r="27" ht="20.05" customHeight="1">
      <c r="B27" s="31"/>
      <c r="C27" s="14"/>
      <c r="D27" s="24">
        <f>'Model'!C6</f>
        <v>621.9</v>
      </c>
      <c r="E27" s="13"/>
      <c r="F27" s="17">
        <f>'Model'!C7</f>
        <v>-0.844669561022672</v>
      </c>
      <c r="G27" s="25"/>
      <c r="H27" s="17"/>
    </row>
    <row r="28" ht="20.05" customHeight="1">
      <c r="B28" s="32">
        <v>2022</v>
      </c>
      <c r="C28" s="14"/>
      <c r="D28" s="24">
        <f>'Model'!D6</f>
        <v>528.615</v>
      </c>
      <c r="E28" s="13"/>
      <c r="F28" s="13"/>
      <c r="G28" s="13"/>
      <c r="H28" s="13"/>
    </row>
    <row r="29" ht="20.05" customHeight="1">
      <c r="B29" s="31"/>
      <c r="C29" s="14"/>
      <c r="D29" s="24">
        <f>'Model'!E6</f>
        <v>792.9225</v>
      </c>
      <c r="E29" s="13"/>
      <c r="F29" s="13"/>
      <c r="G29" s="13"/>
      <c r="H29" s="13"/>
    </row>
    <row r="30" ht="20.05" customHeight="1">
      <c r="B30" s="31"/>
      <c r="C30" s="14"/>
      <c r="D30" s="24">
        <f>'Model'!F6</f>
        <v>816.710175</v>
      </c>
      <c r="E30" s="13"/>
      <c r="F30" s="13"/>
      <c r="G30" s="13"/>
      <c r="H30" s="13"/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8125" style="33" customWidth="1"/>
    <col min="2" max="2" width="8.17969" style="33" customWidth="1"/>
    <col min="3" max="5" width="10.9766" style="33" customWidth="1"/>
    <col min="6" max="6" width="10.6719" style="33" customWidth="1"/>
    <col min="7" max="11" width="10.4609" style="33" customWidth="1"/>
    <col min="12" max="15" width="9.78906" style="33" customWidth="1"/>
    <col min="16" max="16384" width="16.3516" style="33" customWidth="1"/>
  </cols>
  <sheetData>
    <row r="1" ht="43.2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4">
        <v>1</v>
      </c>
      <c r="C3" t="s" s="4">
        <v>48</v>
      </c>
      <c r="D3" t="s" s="4">
        <v>20</v>
      </c>
      <c r="E3" t="s" s="4">
        <v>49</v>
      </c>
      <c r="F3" t="s" s="4">
        <v>50</v>
      </c>
      <c r="G3" t="s" s="4">
        <v>51</v>
      </c>
      <c r="H3" t="s" s="4">
        <v>10</v>
      </c>
      <c r="I3" t="s" s="4">
        <v>12</v>
      </c>
      <c r="J3" t="s" s="4">
        <v>26</v>
      </c>
      <c r="K3" t="s" s="4">
        <v>52</v>
      </c>
      <c r="L3" t="s" s="4">
        <v>11</v>
      </c>
      <c r="M3" t="s" s="4">
        <v>53</v>
      </c>
      <c r="N3" t="s" s="4">
        <v>34</v>
      </c>
      <c r="O3" t="s" s="4">
        <v>30</v>
      </c>
    </row>
    <row r="4" ht="20.25" customHeight="1">
      <c r="B4" s="28">
        <v>2016</v>
      </c>
      <c r="C4" s="34">
        <v>8.4</v>
      </c>
      <c r="D4" s="35">
        <v>116.9</v>
      </c>
      <c r="E4" s="35">
        <v>1469</v>
      </c>
      <c r="F4" s="35">
        <v>-267</v>
      </c>
      <c r="G4" s="35"/>
      <c r="H4" s="35"/>
      <c r="I4" s="35"/>
      <c r="J4" s="35"/>
      <c r="K4" s="35">
        <v>-68.8</v>
      </c>
      <c r="L4" s="35">
        <v>-1.8</v>
      </c>
      <c r="M4" s="35">
        <v>-335.8</v>
      </c>
      <c r="N4" s="35"/>
      <c r="O4" s="35">
        <f>-(L4)</f>
        <v>1.8</v>
      </c>
    </row>
    <row r="5" ht="20.05" customHeight="1">
      <c r="B5" s="31"/>
      <c r="C5" s="20">
        <v>245.6</v>
      </c>
      <c r="D5" s="21">
        <v>21</v>
      </c>
      <c r="E5" s="21">
        <v>2953</v>
      </c>
      <c r="F5" s="21">
        <v>1068.3</v>
      </c>
      <c r="G5" s="21"/>
      <c r="H5" s="21"/>
      <c r="I5" s="21"/>
      <c r="J5" s="21"/>
      <c r="K5" s="21">
        <v>-97.90000000000001</v>
      </c>
      <c r="L5" s="21">
        <v>-206.6</v>
      </c>
      <c r="M5" s="21">
        <v>970.4</v>
      </c>
      <c r="N5" s="21"/>
      <c r="O5" s="21">
        <f>-(L5-H5)+O4</f>
        <v>208.4</v>
      </c>
    </row>
    <row r="6" ht="20.05" customHeight="1">
      <c r="B6" s="31"/>
      <c r="C6" s="20">
        <v>107.65</v>
      </c>
      <c r="D6" s="21">
        <v>76</v>
      </c>
      <c r="E6" s="21">
        <v>1899.18</v>
      </c>
      <c r="F6" s="21">
        <v>-393.32</v>
      </c>
      <c r="G6" s="21"/>
      <c r="H6" s="21"/>
      <c r="I6" s="21"/>
      <c r="J6" s="21"/>
      <c r="K6" s="21">
        <v>166.7</v>
      </c>
      <c r="L6" s="21">
        <v>-202.1</v>
      </c>
      <c r="M6" s="21">
        <v>-226.62</v>
      </c>
      <c r="N6" s="21"/>
      <c r="O6" s="21">
        <f>-(L6-H6)+O5</f>
        <v>410.5</v>
      </c>
    </row>
    <row r="7" ht="20.05" customHeight="1">
      <c r="B7" s="31"/>
      <c r="C7" s="20">
        <v>46.75</v>
      </c>
      <c r="D7" s="21">
        <v>108.1</v>
      </c>
      <c r="E7" s="21">
        <v>1907.52</v>
      </c>
      <c r="F7" s="21">
        <v>351.02</v>
      </c>
      <c r="G7" s="21"/>
      <c r="H7" s="21"/>
      <c r="I7" s="21"/>
      <c r="J7" s="21"/>
      <c r="K7" s="21">
        <v>-589</v>
      </c>
      <c r="L7" s="21">
        <v>0</v>
      </c>
      <c r="M7" s="21">
        <v>-237.98</v>
      </c>
      <c r="N7" s="21"/>
      <c r="O7" s="21">
        <f>-(L7-H7)+O6</f>
        <v>410.5</v>
      </c>
    </row>
    <row r="8" ht="20.05" customHeight="1">
      <c r="B8" s="32">
        <v>2017</v>
      </c>
      <c r="C8" s="20">
        <v>2.87</v>
      </c>
      <c r="D8" s="21">
        <v>80.48999999999999</v>
      </c>
      <c r="E8" s="21">
        <v>1519</v>
      </c>
      <c r="F8" s="21">
        <v>-244.48</v>
      </c>
      <c r="G8" s="21"/>
      <c r="H8" s="21"/>
      <c r="I8" s="21"/>
      <c r="J8" s="21"/>
      <c r="K8" s="21">
        <v>40.8</v>
      </c>
      <c r="L8" s="21">
        <v>40.8</v>
      </c>
      <c r="M8" s="21">
        <v>-203.68</v>
      </c>
      <c r="N8" s="21">
        <f>AVERAGE(M5:M8)</f>
        <v>75.53</v>
      </c>
      <c r="O8" s="21">
        <f>-(L8-H8)+O7</f>
        <v>369.7</v>
      </c>
    </row>
    <row r="9" ht="20.05" customHeight="1">
      <c r="B9" s="31"/>
      <c r="C9" s="20">
        <v>365.83</v>
      </c>
      <c r="D9" s="21">
        <v>78.31</v>
      </c>
      <c r="E9" s="21">
        <v>3649.77</v>
      </c>
      <c r="F9" s="21">
        <v>1738.28</v>
      </c>
      <c r="G9" s="21"/>
      <c r="H9" s="21"/>
      <c r="I9" s="21"/>
      <c r="J9" s="21"/>
      <c r="K9" s="21">
        <v>-496.8</v>
      </c>
      <c r="L9" s="21">
        <v>-282.8</v>
      </c>
      <c r="M9" s="21">
        <v>1241.48</v>
      </c>
      <c r="N9" s="21">
        <f>AVERAGE(M6:M9)</f>
        <v>143.3</v>
      </c>
      <c r="O9" s="21">
        <f>-(L9-H9)+O8</f>
        <v>652.5</v>
      </c>
    </row>
    <row r="10" ht="20.05" customHeight="1">
      <c r="B10" s="31"/>
      <c r="C10" s="20">
        <v>-0.91</v>
      </c>
      <c r="D10" s="21">
        <v>73.78</v>
      </c>
      <c r="E10" s="21">
        <v>1226.63</v>
      </c>
      <c r="F10" s="21">
        <v>-1056.15</v>
      </c>
      <c r="G10" s="21"/>
      <c r="H10" s="21"/>
      <c r="I10" s="21"/>
      <c r="J10" s="21"/>
      <c r="K10" s="21">
        <v>-68.58</v>
      </c>
      <c r="L10" s="21">
        <v>0</v>
      </c>
      <c r="M10" s="21">
        <v>-1124.73</v>
      </c>
      <c r="N10" s="21">
        <f>AVERAGE(M7:M10)</f>
        <v>-81.22750000000001</v>
      </c>
      <c r="O10" s="21">
        <f>-(L10-H10)+O9</f>
        <v>652.5</v>
      </c>
    </row>
    <row r="11" ht="20.05" customHeight="1">
      <c r="B11" s="31"/>
      <c r="C11" s="20">
        <v>38.79</v>
      </c>
      <c r="D11" s="21">
        <v>74.22</v>
      </c>
      <c r="E11" s="21">
        <v>1757.98</v>
      </c>
      <c r="F11" s="21">
        <v>413.92</v>
      </c>
      <c r="G11" s="21"/>
      <c r="H11" s="21"/>
      <c r="I11" s="21"/>
      <c r="J11" s="21"/>
      <c r="K11" s="21">
        <v>63.18</v>
      </c>
      <c r="L11" s="21">
        <v>-0.02</v>
      </c>
      <c r="M11" s="21">
        <v>477.1</v>
      </c>
      <c r="N11" s="21">
        <f>AVERAGE(M8:M11)</f>
        <v>97.5425</v>
      </c>
      <c r="O11" s="21">
        <f>-(L11-H11)+O10</f>
        <v>652.52</v>
      </c>
    </row>
    <row r="12" ht="20.05" customHeight="1">
      <c r="B12" s="32">
        <v>2018</v>
      </c>
      <c r="C12" s="20">
        <v>14.67</v>
      </c>
      <c r="D12" s="21">
        <v>75.59999999999999</v>
      </c>
      <c r="E12" s="21">
        <v>1500</v>
      </c>
      <c r="F12" s="21">
        <v>-220.6</v>
      </c>
      <c r="G12" s="21"/>
      <c r="H12" s="21"/>
      <c r="I12" s="21"/>
      <c r="J12" s="21"/>
      <c r="K12" s="21">
        <v>-219.49</v>
      </c>
      <c r="L12" s="21">
        <v>-220</v>
      </c>
      <c r="M12" s="21">
        <v>-440.09</v>
      </c>
      <c r="N12" s="21">
        <f>AVERAGE(M9:M12)</f>
        <v>38.44</v>
      </c>
      <c r="O12" s="21">
        <f>-(L12-H12)+O11</f>
        <v>872.52</v>
      </c>
    </row>
    <row r="13" ht="20.05" customHeight="1">
      <c r="B13" s="31"/>
      <c r="C13" s="20">
        <v>471.33</v>
      </c>
      <c r="D13" s="21">
        <v>91.7</v>
      </c>
      <c r="E13" s="21">
        <v>3755.4</v>
      </c>
      <c r="F13" s="21">
        <v>1789.6</v>
      </c>
      <c r="G13" s="21"/>
      <c r="H13" s="21"/>
      <c r="I13" s="21"/>
      <c r="J13" s="21"/>
      <c r="K13" s="21">
        <v>-925.51</v>
      </c>
      <c r="L13" s="21">
        <v>-268.9</v>
      </c>
      <c r="M13" s="21">
        <v>864.09</v>
      </c>
      <c r="N13" s="21">
        <f>AVERAGE(M10:M13)</f>
        <v>-55.9075</v>
      </c>
      <c r="O13" s="21">
        <f>-(L13-H13)+O12</f>
        <v>1141.42</v>
      </c>
    </row>
    <row r="14" ht="20.05" customHeight="1">
      <c r="B14" s="31"/>
      <c r="C14" s="20">
        <v>41.27</v>
      </c>
      <c r="D14" s="21">
        <v>75.3</v>
      </c>
      <c r="E14" s="21">
        <v>1404.8</v>
      </c>
      <c r="F14" s="21">
        <v>-1071.84</v>
      </c>
      <c r="G14" s="21"/>
      <c r="H14" s="21"/>
      <c r="I14" s="21"/>
      <c r="J14" s="21"/>
      <c r="K14" s="21">
        <v>1367.59</v>
      </c>
      <c r="L14" s="21">
        <v>0</v>
      </c>
      <c r="M14" s="21">
        <v>295.75</v>
      </c>
      <c r="N14" s="21">
        <f>AVERAGE(M11:M14)</f>
        <v>299.2125</v>
      </c>
      <c r="O14" s="21">
        <f>-(L14-H14)+O13</f>
        <v>1141.42</v>
      </c>
    </row>
    <row r="15" ht="20.05" customHeight="1">
      <c r="B15" s="31"/>
      <c r="C15" s="20">
        <v>59.83</v>
      </c>
      <c r="D15" s="21">
        <v>62.1</v>
      </c>
      <c r="E15" s="21">
        <v>1868.1</v>
      </c>
      <c r="F15" s="21">
        <v>289.94</v>
      </c>
      <c r="G15" s="21"/>
      <c r="H15" s="21"/>
      <c r="I15" s="21"/>
      <c r="J15" s="21"/>
      <c r="K15" s="21">
        <v>458.01</v>
      </c>
      <c r="L15" s="21">
        <v>0</v>
      </c>
      <c r="M15" s="21">
        <v>747.95</v>
      </c>
      <c r="N15" s="21">
        <f>AVERAGE(M12:M15)</f>
        <v>366.925</v>
      </c>
      <c r="O15" s="21">
        <f>-(L15-H15)+O14</f>
        <v>1141.42</v>
      </c>
    </row>
    <row r="16" ht="20.05" customHeight="1">
      <c r="B16" s="32">
        <v>2019</v>
      </c>
      <c r="C16" s="20">
        <v>77.5</v>
      </c>
      <c r="D16" s="21">
        <v>75.5</v>
      </c>
      <c r="E16" s="21">
        <v>1486.5</v>
      </c>
      <c r="F16" s="21">
        <v>-254.3</v>
      </c>
      <c r="G16" s="21">
        <v>-35.7</v>
      </c>
      <c r="H16" s="21"/>
      <c r="I16" s="21"/>
      <c r="J16" s="21"/>
      <c r="K16" s="21">
        <v>-586.1</v>
      </c>
      <c r="L16" s="21">
        <v>35.4</v>
      </c>
      <c r="M16" s="21">
        <v>-840.4</v>
      </c>
      <c r="N16" s="21">
        <f>AVERAGE(M13:M16)</f>
        <v>266.8475</v>
      </c>
      <c r="O16" s="21">
        <f>-(L16-H16)+O15</f>
        <v>1106.02</v>
      </c>
    </row>
    <row r="17" ht="20.05" customHeight="1">
      <c r="B17" s="31"/>
      <c r="C17" s="20">
        <v>512.3</v>
      </c>
      <c r="D17" s="21">
        <v>70.2</v>
      </c>
      <c r="E17" s="21">
        <v>3774.3</v>
      </c>
      <c r="F17" s="21">
        <v>1903.3</v>
      </c>
      <c r="G17" s="21">
        <v>-29.5</v>
      </c>
      <c r="H17" s="21"/>
      <c r="I17" s="21"/>
      <c r="J17" s="21"/>
      <c r="K17" s="21">
        <v>-280.3</v>
      </c>
      <c r="L17" s="21">
        <v>-337.2</v>
      </c>
      <c r="M17" s="21">
        <v>1623</v>
      </c>
      <c r="N17" s="21">
        <f>AVERAGE(M14:M17)</f>
        <v>456.575</v>
      </c>
      <c r="O17" s="21">
        <f>-(L17-H17)+O16</f>
        <v>1443.22</v>
      </c>
    </row>
    <row r="18" ht="20.05" customHeight="1">
      <c r="B18" s="31"/>
      <c r="C18" s="20">
        <v>22.6</v>
      </c>
      <c r="D18" s="21">
        <v>70</v>
      </c>
      <c r="E18" s="21">
        <v>1456.9</v>
      </c>
      <c r="F18" s="21">
        <v>-759.4</v>
      </c>
      <c r="G18" s="21">
        <v>-35.2</v>
      </c>
      <c r="H18" s="21"/>
      <c r="I18" s="21"/>
      <c r="J18" s="21"/>
      <c r="K18" s="21">
        <v>-771.5</v>
      </c>
      <c r="L18" s="21">
        <v>0</v>
      </c>
      <c r="M18" s="21">
        <v>-1530.9</v>
      </c>
      <c r="N18" s="21">
        <f>AVERAGE(M15:M18)</f>
        <v>-0.08749999999999999</v>
      </c>
      <c r="O18" s="21">
        <f>-(L18-H18)+O17</f>
        <v>1443.22</v>
      </c>
    </row>
    <row r="19" ht="20.05" customHeight="1">
      <c r="B19" s="31"/>
      <c r="C19" s="20">
        <v>35.5</v>
      </c>
      <c r="D19" s="21">
        <v>86.09999999999999</v>
      </c>
      <c r="E19" s="21">
        <v>1808.3</v>
      </c>
      <c r="F19" s="21">
        <v>186</v>
      </c>
      <c r="G19" s="21">
        <v>-32.9</v>
      </c>
      <c r="H19" s="21"/>
      <c r="I19" s="21"/>
      <c r="J19" s="21"/>
      <c r="K19" s="21">
        <v>1121.4</v>
      </c>
      <c r="L19" s="21">
        <v>0</v>
      </c>
      <c r="M19" s="21">
        <v>1307.4</v>
      </c>
      <c r="N19" s="21">
        <f>AVERAGE(M16:M19)</f>
        <v>139.775</v>
      </c>
      <c r="O19" s="21">
        <f>-(L19-H19)+O18</f>
        <v>1443.22</v>
      </c>
    </row>
    <row r="20" ht="20.05" customHeight="1">
      <c r="B20" s="32">
        <v>2020</v>
      </c>
      <c r="C20" s="20">
        <v>13.3</v>
      </c>
      <c r="D20" s="21">
        <v>129.6</v>
      </c>
      <c r="E20" s="21">
        <v>1340.4</v>
      </c>
      <c r="F20" s="21">
        <v>-156.7</v>
      </c>
      <c r="G20" s="21">
        <v>-28</v>
      </c>
      <c r="H20" s="21"/>
      <c r="I20" s="21"/>
      <c r="J20" s="21"/>
      <c r="K20" s="21">
        <v>-889.6</v>
      </c>
      <c r="L20" s="21">
        <v>-0.7</v>
      </c>
      <c r="M20" s="21">
        <v>-1046.3</v>
      </c>
      <c r="N20" s="21">
        <f>AVERAGE(M17:M20)</f>
        <v>88.3</v>
      </c>
      <c r="O20" s="21">
        <f>-(L20-H20)+O19</f>
        <v>1443.92</v>
      </c>
    </row>
    <row r="21" ht="20.05" customHeight="1">
      <c r="B21" s="31"/>
      <c r="C21" s="20">
        <v>-7.9</v>
      </c>
      <c r="D21" s="21">
        <v>68.7</v>
      </c>
      <c r="E21" s="21">
        <v>848.2</v>
      </c>
      <c r="F21" s="21">
        <v>8.4</v>
      </c>
      <c r="G21" s="21">
        <v>-8.6</v>
      </c>
      <c r="H21" s="21"/>
      <c r="I21" s="21"/>
      <c r="J21" s="21"/>
      <c r="K21" s="21">
        <v>1077.4</v>
      </c>
      <c r="L21" s="21">
        <v>-3.6</v>
      </c>
      <c r="M21" s="21">
        <v>1085.8</v>
      </c>
      <c r="N21" s="21">
        <f>AVERAGE(M18:M21)</f>
        <v>-46</v>
      </c>
      <c r="O21" s="21">
        <f>-(L21-H21)+O20</f>
        <v>1447.52</v>
      </c>
    </row>
    <row r="22" ht="20.05" customHeight="1">
      <c r="B22" s="31"/>
      <c r="C22" s="20">
        <v>-100.6</v>
      </c>
      <c r="D22" s="21">
        <v>105.3</v>
      </c>
      <c r="E22" s="21">
        <v>677.7</v>
      </c>
      <c r="F22" s="21">
        <v>-89.40000000000001</v>
      </c>
      <c r="G22" s="21">
        <v>-14.3</v>
      </c>
      <c r="H22" s="21"/>
      <c r="I22" s="21"/>
      <c r="J22" s="21"/>
      <c r="K22" s="21">
        <v>49.1</v>
      </c>
      <c r="L22" s="21">
        <v>-332.9</v>
      </c>
      <c r="M22" s="21">
        <v>-40.3</v>
      </c>
      <c r="N22" s="21">
        <f>AVERAGE(M19:M22)</f>
        <v>326.65</v>
      </c>
      <c r="O22" s="21">
        <f>-(L22-H22)+O21</f>
        <v>1780.42</v>
      </c>
    </row>
    <row r="23" ht="20.05" customHeight="1">
      <c r="B23" s="31"/>
      <c r="C23" s="20">
        <f>-138.9-SUM(C20:C22)</f>
        <v>-43.7</v>
      </c>
      <c r="D23" s="21">
        <f>269.4+177.8-SUM(D20:D22)</f>
        <v>143.6</v>
      </c>
      <c r="E23" s="21">
        <f>3861.8-SUM(E20:E22)</f>
        <v>995.5</v>
      </c>
      <c r="F23" s="21">
        <f>168.4-SUM(F20:F22)</f>
        <v>406.1</v>
      </c>
      <c r="G23" s="21">
        <v>-15.6</v>
      </c>
      <c r="H23" s="21"/>
      <c r="I23" s="21"/>
      <c r="J23" s="21"/>
      <c r="K23" s="21">
        <f>-320.7-SUM(K20:K22)</f>
        <v>-557.6</v>
      </c>
      <c r="L23" s="21">
        <f>-501.6-SUM(L20:L22)</f>
        <v>-164.4</v>
      </c>
      <c r="M23" s="21">
        <f>F23+K23</f>
        <v>-151.5</v>
      </c>
      <c r="N23" s="21">
        <f>AVERAGE(M20:M23)</f>
        <v>-38.075</v>
      </c>
      <c r="O23" s="21">
        <f>-(L23-H23)+O22</f>
        <v>1944.82</v>
      </c>
    </row>
    <row r="24" ht="20.05" customHeight="1">
      <c r="B24" s="32">
        <v>2021</v>
      </c>
      <c r="C24" s="20">
        <v>-86</v>
      </c>
      <c r="D24" s="21">
        <v>120</v>
      </c>
      <c r="E24" s="21">
        <v>763</v>
      </c>
      <c r="F24" s="21">
        <v>-171</v>
      </c>
      <c r="G24" s="21">
        <v>-19.6</v>
      </c>
      <c r="H24" s="21">
        <v>-52</v>
      </c>
      <c r="I24" s="21">
        <v>0</v>
      </c>
      <c r="J24" s="21">
        <v>0</v>
      </c>
      <c r="K24" s="21">
        <v>-266</v>
      </c>
      <c r="L24" s="21">
        <v>-52</v>
      </c>
      <c r="M24" s="21">
        <f>F24+K24</f>
        <v>-437</v>
      </c>
      <c r="N24" s="21">
        <f>AVERAGE(M21:M24)</f>
        <v>114.25</v>
      </c>
      <c r="O24" s="21">
        <f>-(L24-H24)+O23</f>
        <v>1944.82</v>
      </c>
    </row>
    <row r="25" ht="20.05" customHeight="1">
      <c r="B25" s="31"/>
      <c r="C25" s="20">
        <f>137.8-C24</f>
        <v>223.8</v>
      </c>
      <c r="D25" s="21">
        <f>223-D24</f>
        <v>103</v>
      </c>
      <c r="E25" s="21">
        <f>2745.2-E24</f>
        <v>1982.2</v>
      </c>
      <c r="F25" s="21">
        <f>394.7-F24</f>
        <v>565.7</v>
      </c>
      <c r="G25" s="21">
        <v>-12.3</v>
      </c>
      <c r="H25" s="21">
        <f>-107.648-H24</f>
        <v>-55.648</v>
      </c>
      <c r="I25" s="21">
        <v>0</v>
      </c>
      <c r="J25" s="21">
        <f>-230.799</f>
        <v>-230.799</v>
      </c>
      <c r="K25" s="21">
        <f>-719.2-K24</f>
        <v>-453.2</v>
      </c>
      <c r="L25" s="21">
        <f>-338.4-L24</f>
        <v>-286.4</v>
      </c>
      <c r="M25" s="21">
        <f>F25+K25</f>
        <v>112.5</v>
      </c>
      <c r="N25" s="21">
        <f>AVERAGE(M22:M25)</f>
        <v>-129.075</v>
      </c>
      <c r="O25" s="21">
        <f>-(L25-H25)+O24</f>
        <v>2175.572</v>
      </c>
    </row>
    <row r="26" ht="20.05" customHeight="1">
      <c r="B26" s="31"/>
      <c r="C26" s="20">
        <f>102.8-SUM(C24:C25)</f>
        <v>-35</v>
      </c>
      <c r="D26" s="21">
        <f>290.2-SUM(D24:D25)</f>
        <v>67.2</v>
      </c>
      <c r="E26" s="21">
        <f>3168.3-SUM(E24:E25)</f>
        <v>423.1</v>
      </c>
      <c r="F26" s="21">
        <f>342.8-SUM(F24:F25)</f>
        <v>-51.9</v>
      </c>
      <c r="G26" s="21">
        <f>-56.7-SUM(G24:G25)</f>
        <v>-24.8</v>
      </c>
      <c r="H26" s="21">
        <f>-123-SUM(H24:H25)</f>
        <v>-15.352</v>
      </c>
      <c r="I26" s="21"/>
      <c r="J26" s="21">
        <f>-250.075-J25-J24</f>
        <v>-19.276</v>
      </c>
      <c r="K26" s="21">
        <f>-564.7-SUM(K24:K25)</f>
        <v>154.5</v>
      </c>
      <c r="L26" s="21">
        <f>-373.1-SUM(L24:L25)</f>
        <v>-34.7</v>
      </c>
      <c r="M26" s="21">
        <f>F26+K26</f>
        <v>102.6</v>
      </c>
      <c r="N26" s="21">
        <f>AVERAGE(M23:M26)</f>
        <v>-93.34999999999999</v>
      </c>
      <c r="O26" s="21">
        <f>-(L26-H26)+O25</f>
        <v>2194.92</v>
      </c>
    </row>
    <row r="27" ht="20.05" customHeight="1">
      <c r="B27" s="31"/>
      <c r="C27" s="3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>SUM('Model'!C9:F11)/4</f>
        <v>79.53173750000001</v>
      </c>
      <c r="O27" s="21">
        <f>'Model'!F33</f>
        <v>2452.20993125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7" customWidth="1"/>
    <col min="2" max="2" width="6.26562" style="37" customWidth="1"/>
    <col min="3" max="11" width="11.1641" style="37" customWidth="1"/>
    <col min="12" max="16384" width="16.3516" style="37" customWidth="1"/>
  </cols>
  <sheetData>
    <row r="1" ht="35.7" customHeight="1"/>
    <row r="2" ht="27.65" customHeight="1">
      <c r="B2" t="s" s="2">
        <v>54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55</v>
      </c>
      <c r="C3" t="s" s="4">
        <v>56</v>
      </c>
      <c r="D3" t="s" s="4">
        <v>54</v>
      </c>
      <c r="E3" t="s" s="4">
        <v>23</v>
      </c>
      <c r="F3" t="s" s="4">
        <v>24</v>
      </c>
      <c r="G3" t="s" s="4">
        <v>12</v>
      </c>
      <c r="H3" t="s" s="4">
        <v>26</v>
      </c>
      <c r="I3" t="s" s="4">
        <v>27</v>
      </c>
      <c r="J3" t="s" s="4">
        <v>28</v>
      </c>
      <c r="K3" t="s" s="4">
        <v>36</v>
      </c>
    </row>
    <row r="4" ht="20.25" customHeight="1">
      <c r="B4" s="28">
        <v>2015</v>
      </c>
      <c r="C4" s="34">
        <v>364</v>
      </c>
      <c r="D4" s="35">
        <v>4382</v>
      </c>
      <c r="E4" s="35">
        <f>D4-C4</f>
        <v>4018</v>
      </c>
      <c r="F4" s="35">
        <v>1767</v>
      </c>
      <c r="G4" s="35">
        <v>1017</v>
      </c>
      <c r="H4" s="35">
        <v>3365</v>
      </c>
      <c r="I4" s="35">
        <f>G4+H4-C4-E4</f>
        <v>0</v>
      </c>
      <c r="J4" s="35">
        <f>C4-G4</f>
        <v>-653</v>
      </c>
      <c r="K4" s="35"/>
    </row>
    <row r="5" ht="20.05" customHeight="1">
      <c r="B5" s="31"/>
      <c r="C5" s="20">
        <v>781</v>
      </c>
      <c r="D5" s="21">
        <v>4872</v>
      </c>
      <c r="E5" s="21">
        <f>D5-C5</f>
        <v>4091</v>
      </c>
      <c r="F5" s="21">
        <v>1805</v>
      </c>
      <c r="G5" s="21">
        <v>1614</v>
      </c>
      <c r="H5" s="21">
        <v>3258</v>
      </c>
      <c r="I5" s="21">
        <f>G5+H5-C5-E5</f>
        <v>0</v>
      </c>
      <c r="J5" s="21">
        <f>C5-G5</f>
        <v>-833</v>
      </c>
      <c r="K5" s="21"/>
    </row>
    <row r="6" ht="20.05" customHeight="1">
      <c r="B6" s="31"/>
      <c r="C6" s="20">
        <v>728</v>
      </c>
      <c r="D6" s="21">
        <v>4484</v>
      </c>
      <c r="E6" s="21">
        <f>D6-C6</f>
        <v>3756</v>
      </c>
      <c r="F6" s="21">
        <v>1851</v>
      </c>
      <c r="G6" s="21">
        <v>1051</v>
      </c>
      <c r="H6" s="21">
        <v>3433</v>
      </c>
      <c r="I6" s="21">
        <f>G6+H6-C6-E6</f>
        <v>0</v>
      </c>
      <c r="J6" s="21">
        <f>C6-G6</f>
        <v>-323</v>
      </c>
      <c r="K6" s="21"/>
    </row>
    <row r="7" ht="20.05" customHeight="1">
      <c r="B7" s="31"/>
      <c r="C7" s="20">
        <v>844</v>
      </c>
      <c r="D7" s="21">
        <v>4575</v>
      </c>
      <c r="E7" s="21">
        <f>D7-C7</f>
        <v>3731</v>
      </c>
      <c r="F7" s="21">
        <v>1867</v>
      </c>
      <c r="G7" s="21">
        <v>1241</v>
      </c>
      <c r="H7" s="21">
        <v>3334</v>
      </c>
      <c r="I7" s="21">
        <f>G7+H7-C7-E7</f>
        <v>0</v>
      </c>
      <c r="J7" s="21">
        <f>C7-G7</f>
        <v>-397</v>
      </c>
      <c r="K7" s="21"/>
    </row>
    <row r="8" ht="20.05" customHeight="1">
      <c r="B8" s="32">
        <v>2016</v>
      </c>
      <c r="C8" s="20">
        <v>506</v>
      </c>
      <c r="D8" s="21">
        <v>4332</v>
      </c>
      <c r="E8" s="21">
        <f>D8-C8</f>
        <v>3826</v>
      </c>
      <c r="F8" s="21">
        <v>1913</v>
      </c>
      <c r="G8" s="21">
        <v>991</v>
      </c>
      <c r="H8" s="21">
        <v>3341</v>
      </c>
      <c r="I8" s="21">
        <f>G8+H8-C8-E8</f>
        <v>0</v>
      </c>
      <c r="J8" s="21">
        <f>C8-G8</f>
        <v>-485</v>
      </c>
      <c r="K8" s="21"/>
    </row>
    <row r="9" ht="20.05" customHeight="1">
      <c r="B9" s="31"/>
      <c r="C9" s="20">
        <v>1270</v>
      </c>
      <c r="D9" s="21">
        <v>5310</v>
      </c>
      <c r="E9" s="21">
        <f>D9-C9</f>
        <v>4040</v>
      </c>
      <c r="F9" s="21">
        <v>1957</v>
      </c>
      <c r="G9" s="21">
        <v>1930</v>
      </c>
      <c r="H9" s="21">
        <v>3380</v>
      </c>
      <c r="I9" s="21">
        <f>G9+H9-C9-E9</f>
        <v>0</v>
      </c>
      <c r="J9" s="21">
        <f>C9-G9</f>
        <v>-660</v>
      </c>
      <c r="K9" s="21"/>
    </row>
    <row r="10" ht="20.05" customHeight="1">
      <c r="B10" s="31"/>
      <c r="C10" s="20">
        <v>476</v>
      </c>
      <c r="D10" s="21">
        <v>4414</v>
      </c>
      <c r="E10" s="21">
        <f>D10-C10</f>
        <v>3938</v>
      </c>
      <c r="F10" s="21">
        <v>1989</v>
      </c>
      <c r="G10" s="21">
        <v>1128</v>
      </c>
      <c r="H10" s="21">
        <v>3286</v>
      </c>
      <c r="I10" s="21">
        <f>G10+H10-C10-E10</f>
        <v>0</v>
      </c>
      <c r="J10" s="21">
        <f>C10-G10</f>
        <v>-652</v>
      </c>
      <c r="K10" s="21"/>
    </row>
    <row r="11" ht="20.05" customHeight="1">
      <c r="B11" s="31"/>
      <c r="C11" s="20">
        <v>604</v>
      </c>
      <c r="D11" s="21">
        <v>4647</v>
      </c>
      <c r="E11" s="21">
        <f>D11-C11</f>
        <v>4043</v>
      </c>
      <c r="F11" s="21">
        <v>2036</v>
      </c>
      <c r="G11" s="21">
        <v>1310</v>
      </c>
      <c r="H11" s="21">
        <v>3337</v>
      </c>
      <c r="I11" s="21">
        <f>G11+H11-C11-E11</f>
        <v>0</v>
      </c>
      <c r="J11" s="21">
        <f>C11-G11</f>
        <v>-706</v>
      </c>
      <c r="K11" s="21"/>
    </row>
    <row r="12" ht="20.05" customHeight="1">
      <c r="B12" s="32">
        <v>2017</v>
      </c>
      <c r="C12" s="20">
        <v>400</v>
      </c>
      <c r="D12" s="21">
        <v>4475</v>
      </c>
      <c r="E12" s="21">
        <f>D12-C12</f>
        <v>4075</v>
      </c>
      <c r="F12" s="21">
        <v>2082</v>
      </c>
      <c r="G12" s="21">
        <v>1133</v>
      </c>
      <c r="H12" s="21">
        <v>3342</v>
      </c>
      <c r="I12" s="21">
        <f>G12+H12-C12-E12</f>
        <v>0</v>
      </c>
      <c r="J12" s="21">
        <f>C12-G12</f>
        <v>-733</v>
      </c>
      <c r="K12" s="21"/>
    </row>
    <row r="13" ht="20.05" customHeight="1">
      <c r="B13" s="31"/>
      <c r="C13" s="20">
        <v>1399</v>
      </c>
      <c r="D13" s="21">
        <v>5823</v>
      </c>
      <c r="E13" s="21">
        <f>D13-C13</f>
        <v>4424</v>
      </c>
      <c r="F13" s="21">
        <v>2126</v>
      </c>
      <c r="G13" s="21">
        <v>2356</v>
      </c>
      <c r="H13" s="21">
        <v>3467</v>
      </c>
      <c r="I13" s="21">
        <f>G13+H13-C13-E13</f>
        <v>0</v>
      </c>
      <c r="J13" s="21">
        <f>C13-G13</f>
        <v>-957</v>
      </c>
      <c r="K13" s="21"/>
    </row>
    <row r="14" ht="20.05" customHeight="1">
      <c r="B14" s="31"/>
      <c r="C14" s="20">
        <v>275</v>
      </c>
      <c r="D14" s="21">
        <v>4512</v>
      </c>
      <c r="E14" s="21">
        <f>D14-C14</f>
        <v>4237</v>
      </c>
      <c r="F14" s="21">
        <v>2171</v>
      </c>
      <c r="G14" s="21">
        <v>1046</v>
      </c>
      <c r="H14" s="21">
        <v>3466</v>
      </c>
      <c r="I14" s="21">
        <f>G14+H14-C14-E14</f>
        <v>0</v>
      </c>
      <c r="J14" s="21">
        <f>C14-G14</f>
        <v>-771</v>
      </c>
      <c r="K14" s="21"/>
    </row>
    <row r="15" ht="20.05" customHeight="1">
      <c r="B15" s="31"/>
      <c r="C15" s="20">
        <v>752</v>
      </c>
      <c r="D15" s="21">
        <v>4892</v>
      </c>
      <c r="E15" s="21">
        <f>D15-C15</f>
        <v>4140</v>
      </c>
      <c r="F15" s="21">
        <v>2215</v>
      </c>
      <c r="G15" s="21">
        <v>1398</v>
      </c>
      <c r="H15" s="21">
        <v>3494</v>
      </c>
      <c r="I15" s="21">
        <f>G15+H15-C15-E15</f>
        <v>0</v>
      </c>
      <c r="J15" s="21">
        <f>C15-G15</f>
        <v>-646</v>
      </c>
      <c r="K15" s="21"/>
    </row>
    <row r="16" ht="20.05" customHeight="1">
      <c r="B16" s="32">
        <v>2018</v>
      </c>
      <c r="C16" s="20">
        <v>312</v>
      </c>
      <c r="D16" s="21">
        <v>4851</v>
      </c>
      <c r="E16" s="21">
        <f>D16-C16</f>
        <v>4539</v>
      </c>
      <c r="F16" s="21">
        <v>2259</v>
      </c>
      <c r="G16" s="21">
        <v>1342</v>
      </c>
      <c r="H16" s="21">
        <v>3509</v>
      </c>
      <c r="I16" s="21">
        <f>G16+H16-C16-E16</f>
        <v>0</v>
      </c>
      <c r="J16" s="21">
        <f>C16-G16</f>
        <v>-1030</v>
      </c>
      <c r="K16" s="21"/>
    </row>
    <row r="17" ht="20.05" customHeight="1">
      <c r="B17" s="31"/>
      <c r="C17" s="20">
        <v>907</v>
      </c>
      <c r="D17" s="21">
        <v>6105</v>
      </c>
      <c r="E17" s="21">
        <f>D17-C17</f>
        <v>5198</v>
      </c>
      <c r="F17" s="21">
        <v>2302</v>
      </c>
      <c r="G17" s="21">
        <v>2395</v>
      </c>
      <c r="H17" s="21">
        <v>3710</v>
      </c>
      <c r="I17" s="21">
        <f>G17+H17-C17-E17</f>
        <v>0</v>
      </c>
      <c r="J17" s="21">
        <f>C17-G17</f>
        <v>-1488</v>
      </c>
      <c r="K17" s="21"/>
    </row>
    <row r="18" ht="20.05" customHeight="1">
      <c r="B18" s="31"/>
      <c r="C18" s="20">
        <v>1203</v>
      </c>
      <c r="D18" s="21">
        <v>4983</v>
      </c>
      <c r="E18" s="21">
        <f>D18-C18</f>
        <v>3780</v>
      </c>
      <c r="F18" s="21">
        <v>2334</v>
      </c>
      <c r="G18" s="21">
        <v>1235</v>
      </c>
      <c r="H18" s="21">
        <v>3748</v>
      </c>
      <c r="I18" s="21">
        <f>G18+H18-C18-E18</f>
        <v>0</v>
      </c>
      <c r="J18" s="21">
        <f>C18-G18</f>
        <v>-32</v>
      </c>
      <c r="K18" s="21"/>
    </row>
    <row r="19" ht="20.05" customHeight="1">
      <c r="B19" s="31"/>
      <c r="C19" s="20">
        <v>1951</v>
      </c>
      <c r="D19" s="21">
        <v>5243</v>
      </c>
      <c r="E19" s="21">
        <f>D19-C19</f>
        <v>3292</v>
      </c>
      <c r="F19" s="21">
        <v>2379</v>
      </c>
      <c r="G19" s="21">
        <v>1416</v>
      </c>
      <c r="H19" s="21">
        <v>3827</v>
      </c>
      <c r="I19" s="21">
        <f>G19+H19-C19-E19</f>
        <v>0</v>
      </c>
      <c r="J19" s="21">
        <f>C19-G19</f>
        <v>535</v>
      </c>
      <c r="K19" s="21"/>
    </row>
    <row r="20" ht="20.05" customHeight="1">
      <c r="B20" s="32">
        <v>2019</v>
      </c>
      <c r="C20" s="20">
        <v>1146</v>
      </c>
      <c r="D20" s="21">
        <v>5250</v>
      </c>
      <c r="E20" s="21">
        <f>D20-C20</f>
        <v>4104</v>
      </c>
      <c r="F20" s="21">
        <v>2424</v>
      </c>
      <c r="G20" s="21">
        <v>1329</v>
      </c>
      <c r="H20" s="21">
        <v>3921</v>
      </c>
      <c r="I20" s="21">
        <f>G20+H20-C20-E20</f>
        <v>0</v>
      </c>
      <c r="J20" s="21">
        <f>C20-G20</f>
        <v>-183</v>
      </c>
      <c r="K20" s="21"/>
    </row>
    <row r="21" ht="20.05" customHeight="1">
      <c r="B21" s="31"/>
      <c r="C21" s="20">
        <v>2432</v>
      </c>
      <c r="D21" s="21">
        <v>6266</v>
      </c>
      <c r="E21" s="21">
        <f>D21-C21</f>
        <v>3834</v>
      </c>
      <c r="F21" s="21">
        <v>2463</v>
      </c>
      <c r="G21" s="21">
        <v>2170</v>
      </c>
      <c r="H21" s="21">
        <v>4096</v>
      </c>
      <c r="I21" s="21">
        <f>G21+H21-C21-E21</f>
        <v>0</v>
      </c>
      <c r="J21" s="21">
        <f>C21-G21</f>
        <v>262</v>
      </c>
      <c r="K21" s="21"/>
    </row>
    <row r="22" ht="20.05" customHeight="1">
      <c r="B22" s="31"/>
      <c r="C22" s="20">
        <v>901</v>
      </c>
      <c r="D22" s="21">
        <v>5313</v>
      </c>
      <c r="E22" s="21">
        <f>D22-C22</f>
        <v>4412</v>
      </c>
      <c r="F22" s="21">
        <v>2504</v>
      </c>
      <c r="G22" s="21">
        <v>1197</v>
      </c>
      <c r="H22" s="21">
        <v>4116</v>
      </c>
      <c r="I22" s="21">
        <f>G22+H22-C22-E22</f>
        <v>0</v>
      </c>
      <c r="J22" s="21">
        <f>C22-G22</f>
        <v>-296</v>
      </c>
      <c r="K22" s="21"/>
    </row>
    <row r="23" ht="20.05" customHeight="1">
      <c r="B23" s="31"/>
      <c r="C23" s="20">
        <v>2208</v>
      </c>
      <c r="D23" s="21">
        <v>5650</v>
      </c>
      <c r="E23" s="21">
        <f>D23-C23</f>
        <v>3442</v>
      </c>
      <c r="F23" s="21">
        <f>2554</f>
        <v>2554</v>
      </c>
      <c r="G23" s="21">
        <v>1481</v>
      </c>
      <c r="H23" s="21">
        <v>4169</v>
      </c>
      <c r="I23" s="21">
        <f>G23+H23-C23-E23</f>
        <v>0</v>
      </c>
      <c r="J23" s="21">
        <f>C23-G23</f>
        <v>727</v>
      </c>
      <c r="K23" s="21"/>
    </row>
    <row r="24" ht="20.05" customHeight="1">
      <c r="B24" s="32">
        <v>2020</v>
      </c>
      <c r="C24" s="20">
        <v>1161</v>
      </c>
      <c r="D24" s="21">
        <v>5777</v>
      </c>
      <c r="E24" s="21">
        <f>D24-C24</f>
        <v>4616</v>
      </c>
      <c r="F24" s="21">
        <f>1262+2598</f>
        <v>3860</v>
      </c>
      <c r="G24" s="21">
        <v>3933</v>
      </c>
      <c r="H24" s="21">
        <v>1844</v>
      </c>
      <c r="I24" s="21">
        <f>G24+H24-C24-E24</f>
        <v>0</v>
      </c>
      <c r="J24" s="21">
        <f>C24-G24</f>
        <v>-2772</v>
      </c>
      <c r="K24" s="21"/>
    </row>
    <row r="25" ht="20.05" customHeight="1">
      <c r="B25" s="31"/>
      <c r="C25" s="20">
        <v>2243</v>
      </c>
      <c r="D25" s="21">
        <v>5465</v>
      </c>
      <c r="E25" s="21">
        <f>D25-C25</f>
        <v>3222</v>
      </c>
      <c r="F25" s="21">
        <f>1289+2640</f>
        <v>3929</v>
      </c>
      <c r="G25" s="21">
        <v>1296</v>
      </c>
      <c r="H25" s="21">
        <v>4169</v>
      </c>
      <c r="I25" s="21">
        <f>G25+H25-C25-E25</f>
        <v>0</v>
      </c>
      <c r="J25" s="21">
        <f>C25-G25</f>
        <v>947</v>
      </c>
      <c r="K25" s="21"/>
    </row>
    <row r="26" ht="20.05" customHeight="1">
      <c r="B26" s="31"/>
      <c r="C26" s="20">
        <v>1870</v>
      </c>
      <c r="D26" s="21">
        <v>4772</v>
      </c>
      <c r="E26" s="21">
        <f>D26-C26</f>
        <v>2902</v>
      </c>
      <c r="F26" s="21">
        <f>1344+2690</f>
        <v>4034</v>
      </c>
      <c r="G26" s="21">
        <f>1036</f>
        <v>1036</v>
      </c>
      <c r="H26" s="21">
        <v>3736</v>
      </c>
      <c r="I26" s="21">
        <f>G26+H26-C26-E26</f>
        <v>0</v>
      </c>
      <c r="J26" s="21">
        <f>C26-G26</f>
        <v>834</v>
      </c>
      <c r="K26" s="21"/>
    </row>
    <row r="27" ht="20.05" customHeight="1">
      <c r="B27" s="31"/>
      <c r="C27" s="20">
        <v>1554</v>
      </c>
      <c r="D27" s="21">
        <v>5285</v>
      </c>
      <c r="E27" s="21">
        <f>D27-C27</f>
        <v>3731</v>
      </c>
      <c r="F27" s="21">
        <f>2732+269</f>
        <v>3001</v>
      </c>
      <c r="G27" s="21">
        <v>1566</v>
      </c>
      <c r="H27" s="21">
        <v>3719</v>
      </c>
      <c r="I27" s="21">
        <f>G27+H27-C27-E27</f>
        <v>0</v>
      </c>
      <c r="J27" s="21">
        <f>C27-G27</f>
        <v>-12</v>
      </c>
      <c r="K27" s="21"/>
    </row>
    <row r="28" ht="20.05" customHeight="1">
      <c r="B28" s="32">
        <v>2021</v>
      </c>
      <c r="C28" s="20">
        <v>1065</v>
      </c>
      <c r="D28" s="21">
        <v>5148</v>
      </c>
      <c r="E28" s="21">
        <f>D28-C28</f>
        <v>4083</v>
      </c>
      <c r="F28" s="21">
        <f>F27+'Cashflow'!D24</f>
        <v>3121</v>
      </c>
      <c r="G28" s="21">
        <v>1514</v>
      </c>
      <c r="H28" s="21">
        <v>3634</v>
      </c>
      <c r="I28" s="21">
        <f>G28+H28-C28-E28</f>
        <v>0</v>
      </c>
      <c r="J28" s="21">
        <f>C28-G28</f>
        <v>-449</v>
      </c>
      <c r="K28" s="21"/>
    </row>
    <row r="29" ht="20.05" customHeight="1">
      <c r="B29" s="31"/>
      <c r="C29" s="20">
        <v>891</v>
      </c>
      <c r="D29" s="21">
        <v>5026</v>
      </c>
      <c r="E29" s="21">
        <f>D29-C29</f>
        <v>4135</v>
      </c>
      <c r="F29" s="21">
        <f>395+12+2822</f>
        <v>3229</v>
      </c>
      <c r="G29" s="21">
        <v>1399</v>
      </c>
      <c r="H29" s="21">
        <v>3627</v>
      </c>
      <c r="I29" s="21">
        <f>G29+H29-C29-E29</f>
        <v>0</v>
      </c>
      <c r="J29" s="21">
        <f>C29-G29</f>
        <v>-508</v>
      </c>
      <c r="K29" s="21"/>
    </row>
    <row r="30" ht="20.05" customHeight="1">
      <c r="B30" s="31"/>
      <c r="C30" s="20">
        <v>959</v>
      </c>
      <c r="D30" s="21">
        <v>4859</v>
      </c>
      <c r="E30" s="21">
        <f>D30-C30</f>
        <v>3900</v>
      </c>
      <c r="F30" s="21">
        <f>424+12+2859</f>
        <v>3295</v>
      </c>
      <c r="G30" s="21">
        <v>1287</v>
      </c>
      <c r="H30" s="21">
        <v>3572</v>
      </c>
      <c r="I30" s="21">
        <f>G30+H30-C30-E30</f>
        <v>0</v>
      </c>
      <c r="J30" s="21">
        <f>C30-G30</f>
        <v>-328</v>
      </c>
      <c r="K30" s="21">
        <f>J30</f>
        <v>-328</v>
      </c>
    </row>
    <row r="31" ht="20.05" customHeight="1">
      <c r="B31" s="31"/>
      <c r="C31" s="20"/>
      <c r="D31" s="21"/>
      <c r="E31" s="21"/>
      <c r="F31" s="21"/>
      <c r="G31" s="21"/>
      <c r="H31" s="21"/>
      <c r="I31" s="21"/>
      <c r="J31" s="21"/>
      <c r="K31" s="21">
        <f>'Model'!F31</f>
        <v>-28.432525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8" customWidth="1"/>
    <col min="2" max="2" width="8.35156" style="38" customWidth="1"/>
    <col min="3" max="3" width="8.73438" style="38" customWidth="1"/>
    <col min="4" max="4" width="8.53125" style="38" customWidth="1"/>
    <col min="5" max="16384" width="16.3516" style="38" customWidth="1"/>
  </cols>
  <sheetData>
    <row r="1" ht="31.85" customHeight="1"/>
    <row r="2" ht="27.65" customHeight="1">
      <c r="B2" t="s" s="2">
        <v>57</v>
      </c>
      <c r="C2" s="2"/>
      <c r="D2" s="2"/>
    </row>
    <row r="3" ht="20.25" customHeight="1">
      <c r="B3" s="5"/>
      <c r="C3" t="s" s="39">
        <v>58</v>
      </c>
      <c r="D3" t="s" s="39">
        <v>39</v>
      </c>
    </row>
    <row r="4" ht="20.25" customHeight="1">
      <c r="B4" s="28">
        <v>2016</v>
      </c>
      <c r="C4" s="40">
        <v>605</v>
      </c>
      <c r="D4" s="9"/>
    </row>
    <row r="5" ht="20.05" customHeight="1">
      <c r="B5" s="31"/>
      <c r="C5" s="41">
        <v>770</v>
      </c>
      <c r="D5" s="25"/>
    </row>
    <row r="6" ht="20.05" customHeight="1">
      <c r="B6" s="31"/>
      <c r="C6" s="41">
        <v>710</v>
      </c>
      <c r="D6" s="25"/>
    </row>
    <row r="7" ht="20.05" customHeight="1">
      <c r="B7" s="31"/>
      <c r="C7" s="41">
        <v>700</v>
      </c>
      <c r="D7" s="25"/>
    </row>
    <row r="8" ht="20.05" customHeight="1">
      <c r="B8" s="31"/>
      <c r="C8" s="41">
        <v>830</v>
      </c>
      <c r="D8" s="25"/>
    </row>
    <row r="9" ht="20.05" customHeight="1">
      <c r="B9" s="31"/>
      <c r="C9" s="42">
        <v>1070</v>
      </c>
      <c r="D9" s="25"/>
    </row>
    <row r="10" ht="20.05" customHeight="1">
      <c r="B10" s="31"/>
      <c r="C10" s="42">
        <v>1215</v>
      </c>
      <c r="D10" s="25"/>
    </row>
    <row r="11" ht="20.05" customHeight="1">
      <c r="B11" s="31"/>
      <c r="C11" s="42">
        <v>1240</v>
      </c>
      <c r="D11" s="25"/>
    </row>
    <row r="12" ht="20.05" customHeight="1">
      <c r="B12" s="31"/>
      <c r="C12" s="42">
        <v>1100</v>
      </c>
      <c r="D12" s="25"/>
    </row>
    <row r="13" ht="20.05" customHeight="1">
      <c r="B13" s="31"/>
      <c r="C13" s="42">
        <v>1370</v>
      </c>
      <c r="D13" s="25"/>
    </row>
    <row r="14" ht="20.05" customHeight="1">
      <c r="B14" s="31"/>
      <c r="C14" s="42">
        <v>1190</v>
      </c>
      <c r="D14" s="25"/>
    </row>
    <row r="15" ht="20.05" customHeight="1">
      <c r="B15" s="31"/>
      <c r="C15" s="42">
        <v>1195</v>
      </c>
      <c r="D15" s="25"/>
    </row>
    <row r="16" ht="20.05" customHeight="1">
      <c r="B16" s="32">
        <v>2017</v>
      </c>
      <c r="C16" s="42">
        <v>1340</v>
      </c>
      <c r="D16" s="25"/>
    </row>
    <row r="17" ht="20.05" customHeight="1">
      <c r="B17" s="31"/>
      <c r="C17" s="42">
        <v>1310</v>
      </c>
      <c r="D17" s="25"/>
    </row>
    <row r="18" ht="20.05" customHeight="1">
      <c r="B18" s="31"/>
      <c r="C18" s="42">
        <v>1115</v>
      </c>
      <c r="D18" s="25"/>
    </row>
    <row r="19" ht="20.05" customHeight="1">
      <c r="B19" s="31"/>
      <c r="C19" s="42">
        <v>1275</v>
      </c>
      <c r="D19" s="25"/>
    </row>
    <row r="20" ht="20.05" customHeight="1">
      <c r="B20" s="31"/>
      <c r="C20" s="43">
        <v>1300</v>
      </c>
      <c r="D20" s="25"/>
    </row>
    <row r="21" ht="20.05" customHeight="1">
      <c r="B21" s="31"/>
      <c r="C21" s="43">
        <v>1225</v>
      </c>
      <c r="D21" s="25"/>
    </row>
    <row r="22" ht="20.05" customHeight="1">
      <c r="B22" s="31"/>
      <c r="C22" s="41">
        <v>945</v>
      </c>
      <c r="D22" s="25"/>
    </row>
    <row r="23" ht="20.05" customHeight="1">
      <c r="B23" s="31"/>
      <c r="C23" s="42">
        <v>1010</v>
      </c>
      <c r="D23" s="25"/>
    </row>
    <row r="24" ht="20.05" customHeight="1">
      <c r="B24" s="31"/>
      <c r="C24" s="41">
        <v>900</v>
      </c>
      <c r="D24" s="25"/>
    </row>
    <row r="25" ht="20.05" customHeight="1">
      <c r="B25" s="31"/>
      <c r="C25" s="41">
        <v>915</v>
      </c>
      <c r="D25" s="25"/>
    </row>
    <row r="26" ht="20.05" customHeight="1">
      <c r="B26" s="31"/>
      <c r="C26" s="42">
        <v>1000</v>
      </c>
      <c r="D26" s="25"/>
    </row>
    <row r="27" ht="20.05" customHeight="1">
      <c r="B27" s="31"/>
      <c r="C27" s="42">
        <v>1200</v>
      </c>
      <c r="D27" s="25"/>
    </row>
    <row r="28" ht="20.05" customHeight="1">
      <c r="B28" s="32">
        <v>2018</v>
      </c>
      <c r="C28" s="42">
        <v>1170</v>
      </c>
      <c r="D28" s="25"/>
    </row>
    <row r="29" ht="20.05" customHeight="1">
      <c r="B29" s="31"/>
      <c r="C29" s="42">
        <v>1180</v>
      </c>
      <c r="D29" s="25"/>
    </row>
    <row r="30" ht="20.05" customHeight="1">
      <c r="B30" s="31"/>
      <c r="C30" s="42">
        <v>1350</v>
      </c>
      <c r="D30" s="25"/>
    </row>
    <row r="31" ht="20.05" customHeight="1">
      <c r="B31" s="31"/>
      <c r="C31" s="42">
        <v>1425</v>
      </c>
      <c r="D31" s="25"/>
    </row>
    <row r="32" ht="20.05" customHeight="1">
      <c r="B32" s="31"/>
      <c r="C32" s="42">
        <v>1365</v>
      </c>
      <c r="D32" s="25"/>
    </row>
    <row r="33" ht="20.05" customHeight="1">
      <c r="B33" s="31"/>
      <c r="C33" s="42">
        <v>1490</v>
      </c>
      <c r="D33" s="25"/>
    </row>
    <row r="34" ht="20.05" customHeight="1">
      <c r="B34" s="31"/>
      <c r="C34" s="42">
        <v>1405</v>
      </c>
      <c r="D34" s="25"/>
    </row>
    <row r="35" ht="20.05" customHeight="1">
      <c r="B35" s="31"/>
      <c r="C35" s="42">
        <v>1270</v>
      </c>
      <c r="D35" s="25"/>
    </row>
    <row r="36" ht="20.05" customHeight="1">
      <c r="B36" s="31"/>
      <c r="C36" s="42">
        <v>1300</v>
      </c>
      <c r="D36" s="25"/>
    </row>
    <row r="37" ht="20.05" customHeight="1">
      <c r="B37" s="31"/>
      <c r="C37" s="42">
        <v>1190</v>
      </c>
      <c r="D37" s="25"/>
    </row>
    <row r="38" ht="20.05" customHeight="1">
      <c r="B38" s="31"/>
      <c r="C38" s="42">
        <v>1190</v>
      </c>
      <c r="D38" s="25"/>
    </row>
    <row r="39" ht="20.05" customHeight="1">
      <c r="B39" s="31"/>
      <c r="C39" s="42">
        <v>1420</v>
      </c>
      <c r="D39" s="25"/>
    </row>
    <row r="40" ht="20.05" customHeight="1">
      <c r="B40" s="32">
        <v>2019</v>
      </c>
      <c r="C40" s="42">
        <v>1570</v>
      </c>
      <c r="D40" s="25"/>
    </row>
    <row r="41" ht="20.05" customHeight="1">
      <c r="B41" s="31"/>
      <c r="C41" s="42">
        <v>1750</v>
      </c>
      <c r="D41" s="25"/>
    </row>
    <row r="42" ht="20.05" customHeight="1">
      <c r="B42" s="31"/>
      <c r="C42" s="42">
        <v>1780</v>
      </c>
      <c r="D42" s="25"/>
    </row>
    <row r="43" ht="20.05" customHeight="1">
      <c r="B43" s="31"/>
      <c r="C43" s="42">
        <v>1785</v>
      </c>
      <c r="D43" s="25"/>
    </row>
    <row r="44" ht="20.05" customHeight="1">
      <c r="B44" s="31"/>
      <c r="C44" s="42">
        <v>1620</v>
      </c>
      <c r="D44" s="25"/>
    </row>
    <row r="45" ht="20.05" customHeight="1">
      <c r="B45" s="31"/>
      <c r="C45" s="42">
        <v>1410</v>
      </c>
      <c r="D45" s="25"/>
    </row>
    <row r="46" ht="20.05" customHeight="1">
      <c r="B46" s="31"/>
      <c r="C46" s="42">
        <v>1345</v>
      </c>
      <c r="D46" s="25"/>
    </row>
    <row r="47" ht="20.05" customHeight="1">
      <c r="B47" s="31"/>
      <c r="C47" s="42">
        <v>1210</v>
      </c>
      <c r="D47" s="25"/>
    </row>
    <row r="48" ht="20.05" customHeight="1">
      <c r="B48" s="31"/>
      <c r="C48" s="42">
        <v>1205</v>
      </c>
      <c r="D48" s="25"/>
    </row>
    <row r="49" ht="20.05" customHeight="1">
      <c r="B49" s="31"/>
      <c r="C49" s="42">
        <v>1170</v>
      </c>
      <c r="D49" s="25"/>
    </row>
    <row r="50" ht="20.05" customHeight="1">
      <c r="B50" s="31"/>
      <c r="C50" s="42">
        <v>1015</v>
      </c>
      <c r="D50" s="25"/>
    </row>
    <row r="51" ht="20.05" customHeight="1">
      <c r="B51" s="31"/>
      <c r="C51" s="42">
        <v>1065</v>
      </c>
      <c r="D51" s="25"/>
    </row>
    <row r="52" ht="20.05" customHeight="1">
      <c r="B52" s="32">
        <v>2020</v>
      </c>
      <c r="C52" s="42">
        <v>1070</v>
      </c>
      <c r="D52" s="25"/>
    </row>
    <row r="53" ht="20.05" customHeight="1">
      <c r="B53" s="31"/>
      <c r="C53" s="42">
        <v>1035</v>
      </c>
      <c r="D53" s="25"/>
    </row>
    <row r="54" ht="20.05" customHeight="1">
      <c r="B54" s="31"/>
      <c r="C54" s="41">
        <v>466</v>
      </c>
      <c r="D54" s="25"/>
    </row>
    <row r="55" ht="20.05" customHeight="1">
      <c r="B55" s="31"/>
      <c r="C55" s="41">
        <v>575</v>
      </c>
      <c r="D55" s="25"/>
    </row>
    <row r="56" ht="20.05" customHeight="1">
      <c r="B56" s="31"/>
      <c r="C56" s="41">
        <v>570</v>
      </c>
      <c r="D56" s="25"/>
    </row>
    <row r="57" ht="20.05" customHeight="1">
      <c r="B57" s="31"/>
      <c r="C57" s="41">
        <v>595</v>
      </c>
      <c r="D57" s="25"/>
    </row>
    <row r="58" ht="20.05" customHeight="1">
      <c r="B58" s="31"/>
      <c r="C58" s="41">
        <v>565</v>
      </c>
      <c r="D58" s="25"/>
    </row>
    <row r="59" ht="20.05" customHeight="1">
      <c r="B59" s="31"/>
      <c r="C59" s="41">
        <v>655</v>
      </c>
      <c r="D59" s="25"/>
    </row>
    <row r="60" ht="20.05" customHeight="1">
      <c r="B60" s="31"/>
      <c r="C60" s="41">
        <v>530</v>
      </c>
      <c r="D60" s="25"/>
    </row>
    <row r="61" ht="20.05" customHeight="1">
      <c r="B61" s="31"/>
      <c r="C61" s="41">
        <v>575</v>
      </c>
      <c r="D61" s="25"/>
    </row>
    <row r="62" ht="20.05" customHeight="1">
      <c r="B62" s="31"/>
      <c r="C62" s="41">
        <v>730</v>
      </c>
      <c r="D62" s="25"/>
    </row>
    <row r="63" ht="20.05" customHeight="1">
      <c r="B63" s="31"/>
      <c r="C63" s="41">
        <v>775</v>
      </c>
      <c r="D63" s="25"/>
    </row>
    <row r="64" ht="20.05" customHeight="1">
      <c r="B64" s="32">
        <v>2021</v>
      </c>
      <c r="C64" s="41">
        <v>645</v>
      </c>
      <c r="D64" s="25"/>
    </row>
    <row r="65" ht="20.05" customHeight="1">
      <c r="B65" s="31"/>
      <c r="C65" s="41">
        <v>730</v>
      </c>
      <c r="D65" s="25"/>
    </row>
    <row r="66" ht="20.05" customHeight="1">
      <c r="B66" s="31"/>
      <c r="C66" s="41">
        <v>780</v>
      </c>
      <c r="D66" s="25"/>
    </row>
    <row r="67" ht="20.05" customHeight="1">
      <c r="B67" s="31"/>
      <c r="C67" s="44">
        <v>775</v>
      </c>
      <c r="D67" s="25"/>
    </row>
    <row r="68" ht="20.05" customHeight="1">
      <c r="B68" s="31"/>
      <c r="C68" s="44">
        <v>650</v>
      </c>
      <c r="D68" s="25"/>
    </row>
    <row r="69" ht="20.05" customHeight="1">
      <c r="B69" s="31"/>
      <c r="C69" s="44">
        <v>675</v>
      </c>
      <c r="D69" s="25"/>
    </row>
    <row r="70" ht="20.05" customHeight="1">
      <c r="B70" s="31"/>
      <c r="C70" s="44">
        <v>630</v>
      </c>
      <c r="D70" s="25"/>
    </row>
    <row r="71" ht="20.05" customHeight="1">
      <c r="B71" s="31"/>
      <c r="C71" s="44">
        <v>640</v>
      </c>
      <c r="D71" s="25"/>
    </row>
    <row r="72" ht="20.05" customHeight="1">
      <c r="B72" s="31"/>
      <c r="C72" s="44">
        <v>685</v>
      </c>
      <c r="D72" s="25"/>
    </row>
    <row r="73" ht="20.05" customHeight="1">
      <c r="B73" s="31"/>
      <c r="C73" s="44">
        <v>740</v>
      </c>
      <c r="D73" s="25"/>
    </row>
    <row r="74" ht="20.05" customHeight="1">
      <c r="B74" s="31"/>
      <c r="C74" s="44">
        <v>765</v>
      </c>
      <c r="D74" s="24">
        <f>C74</f>
        <v>765</v>
      </c>
    </row>
    <row r="75" ht="20.05" customHeight="1">
      <c r="B75" s="31"/>
      <c r="C75" s="44"/>
      <c r="D75" s="21">
        <f>'Model'!F43</f>
        <v>1234.614025720370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