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Sales - Quarterly sales" sheetId="2" r:id="rId5"/>
    <sheet name="Cashflow  - Quarterly Cashflow" sheetId="3" r:id="rId6"/>
    <sheet name="Balance sheet - Balance sheet" sheetId="4" r:id="rId7"/>
    <sheet name="Share price - MCD" sheetId="5" r:id="rId8"/>
    <sheet name="Model - Financial model" sheetId="6" r:id="rId9"/>
    <sheet name="Valuation  - Valuation" sheetId="7" r:id="rId10"/>
  </sheets>
</workbook>
</file>

<file path=xl/sharedStrings.xml><?xml version="1.0" encoding="utf-8"?>
<sst xmlns="http://schemas.openxmlformats.org/spreadsheetml/2006/main" uniqueCount="77">
  <si>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</si>
  <si>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</si>
  <si>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</si>
  <si>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</si>
  <si>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Sales</t>
  </si>
  <si>
    <t>Quarterly sales</t>
  </si>
  <si>
    <t>Sales - Quarterly sales</t>
  </si>
  <si>
    <t>€m</t>
  </si>
  <si>
    <t>Total sales</t>
  </si>
  <si>
    <t xml:space="preserve">Forecast </t>
  </si>
  <si>
    <t xml:space="preserve">Sales growth </t>
  </si>
  <si>
    <t xml:space="preserve">Cash cost ratio </t>
  </si>
  <si>
    <t xml:space="preserve">Cashflow </t>
  </si>
  <si>
    <t>Quarterly Cashflow</t>
  </si>
  <si>
    <t>Cashflow  - Quarterly Cashflow</t>
  </si>
  <si>
    <t>Net profit</t>
  </si>
  <si>
    <t xml:space="preserve">Depreciation </t>
  </si>
  <si>
    <t>Others</t>
  </si>
  <si>
    <t>PPE</t>
  </si>
  <si>
    <t xml:space="preserve">Operating </t>
  </si>
  <si>
    <t xml:space="preserve">Investment </t>
  </si>
  <si>
    <t>Finance</t>
  </si>
  <si>
    <t xml:space="preserve">Free cashflow </t>
  </si>
  <si>
    <t>Cash paid (raised)</t>
  </si>
  <si>
    <t>Balance sheet</t>
  </si>
  <si>
    <t>Balance sheet - Balance sheet</t>
  </si>
  <si>
    <t>Cash</t>
  </si>
  <si>
    <t>ST assets</t>
  </si>
  <si>
    <t>Other ST assets</t>
  </si>
  <si>
    <t xml:space="preserve">Liabilities </t>
  </si>
  <si>
    <t xml:space="preserve">Equity </t>
  </si>
  <si>
    <t xml:space="preserve">Check </t>
  </si>
  <si>
    <t xml:space="preserve">Net cash </t>
  </si>
  <si>
    <t>Share price</t>
  </si>
  <si>
    <t>MCD</t>
  </si>
  <si>
    <t>Share price - MCD</t>
  </si>
  <si>
    <t>Volume (mn)</t>
  </si>
  <si>
    <t>PYPL</t>
  </si>
  <si>
    <t>Target</t>
  </si>
  <si>
    <t>Model</t>
  </si>
  <si>
    <t>Financial model</t>
  </si>
  <si>
    <t>Model - Financial model</t>
  </si>
  <si>
    <t>$m</t>
  </si>
  <si>
    <t>1Q 2021</t>
  </si>
  <si>
    <t>2Q 2021</t>
  </si>
  <si>
    <t>3Q 2021</t>
  </si>
  <si>
    <t>4Q 2021</t>
  </si>
  <si>
    <t>Growth</t>
  </si>
  <si>
    <t>Cash costs</t>
  </si>
  <si>
    <t xml:space="preserve">Operating cashflow </t>
  </si>
  <si>
    <t xml:space="preserve">Investment cashflow </t>
  </si>
  <si>
    <t xml:space="preserve">Finance cashflow </t>
  </si>
  <si>
    <t>Equity</t>
  </si>
  <si>
    <t xml:space="preserve">Cashflow before revolver </t>
  </si>
  <si>
    <t xml:space="preserve">Revolver </t>
  </si>
  <si>
    <t>Beginning cash</t>
  </si>
  <si>
    <t>Change</t>
  </si>
  <si>
    <t>Ending cash</t>
  </si>
  <si>
    <t xml:space="preserve">Profit </t>
  </si>
  <si>
    <t xml:space="preserve">Net profit </t>
  </si>
  <si>
    <t>Other assets</t>
  </si>
  <si>
    <t>Net LT assets</t>
  </si>
  <si>
    <t xml:space="preserve">Valuation </t>
  </si>
  <si>
    <t>Valuation</t>
  </si>
  <si>
    <t>Valuation  - Valuation</t>
  </si>
  <si>
    <t>Value</t>
  </si>
  <si>
    <t xml:space="preserve">Adjustment </t>
  </si>
  <si>
    <t xml:space="preserve">Adjusted </t>
  </si>
  <si>
    <t>Shares</t>
  </si>
  <si>
    <t xml:space="preserve">Target price </t>
  </si>
  <si>
    <t>Current value</t>
  </si>
  <si>
    <t>P/sales</t>
  </si>
  <si>
    <t>P/assets</t>
  </si>
  <si>
    <t>P/equity</t>
  </si>
  <si>
    <t xml:space="preserve">Profitability </t>
  </si>
  <si>
    <t xml:space="preserve">Profit growth </t>
  </si>
  <si>
    <t>Yield</t>
  </si>
</sst>
</file>

<file path=xl/styles.xml><?xml version="1.0" encoding="utf-8"?>
<styleSheet xmlns="http://schemas.openxmlformats.org/spreadsheetml/2006/main">
  <numFmts count="7">
    <numFmt numFmtId="0" formatCode="General"/>
    <numFmt numFmtId="59" formatCode="#,##0%_);[Red]\(#,##0%\)"/>
    <numFmt numFmtId="60" formatCode="#,##0%"/>
    <numFmt numFmtId="61" formatCode="0%_);[Red]\(0%\)"/>
    <numFmt numFmtId="62" formatCode="0.0%"/>
    <numFmt numFmtId="63" formatCode="0.0"/>
    <numFmt numFmtId="64" formatCode="#,##0.0%_);[Red]\(#,##0.0%\)"/>
  </numFmts>
  <fonts count="7">
    <font>
      <sz val="10"/>
      <color indexed="8"/>
      <name val="Helvetica Neue"/>
    </font>
    <font>
      <sz val="12"/>
      <color indexed="8"/>
      <name val="Helvetica Neue"/>
    </font>
    <font>
      <sz val="14"/>
      <color indexed="8"/>
      <name val="Helvetica Neue"/>
    </font>
    <font>
      <u val="single"/>
      <sz val="12"/>
      <color indexed="11"/>
      <name val="Helvetica Neue"/>
    </font>
    <font>
      <b val="1"/>
      <sz val="10"/>
      <color indexed="8"/>
      <name val="Helvetica Neue"/>
    </font>
    <font>
      <sz val="10"/>
      <color indexed="8"/>
      <name val="Calibri"/>
    </font>
    <font>
      <sz val="12"/>
      <color indexed="20"/>
      <name val="Helvetica Neue"/>
    </font>
  </fonts>
  <fills count="9">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s>
  <borders count="8">
    <border>
      <left/>
      <right/>
      <top/>
      <bottom/>
      <diagonal/>
    </border>
    <border>
      <left style="thin">
        <color indexed="13"/>
      </left>
      <right style="thin">
        <color indexed="13"/>
      </right>
      <top style="thin">
        <color indexed="13"/>
      </top>
      <bottom style="thin">
        <color indexed="14"/>
      </bottom>
      <diagonal/>
    </border>
    <border>
      <left style="thin">
        <color indexed="13"/>
      </left>
      <right style="thin">
        <color indexed="14"/>
      </right>
      <top style="thin">
        <color indexed="14"/>
      </top>
      <bottom style="thin">
        <color indexed="13"/>
      </bottom>
      <diagonal/>
    </border>
    <border>
      <left style="thin">
        <color indexed="14"/>
      </left>
      <right style="thin">
        <color indexed="13"/>
      </right>
      <top style="thin">
        <color indexed="14"/>
      </top>
      <bottom style="thin">
        <color indexed="13"/>
      </bottom>
      <diagonal/>
    </border>
    <border>
      <left style="thin">
        <color indexed="13"/>
      </left>
      <right style="thin">
        <color indexed="13"/>
      </right>
      <top style="thin">
        <color indexed="14"/>
      </top>
      <bottom style="thin">
        <color indexed="13"/>
      </bottom>
      <diagonal/>
    </border>
    <border>
      <left style="thin">
        <color indexed="13"/>
      </left>
      <right style="thin">
        <color indexed="14"/>
      </right>
      <top style="thin">
        <color indexed="13"/>
      </top>
      <bottom style="thin">
        <color indexed="13"/>
      </bottom>
      <diagonal/>
    </border>
    <border>
      <left style="thin">
        <color indexed="14"/>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s>
  <cellStyleXfs count="1">
    <xf numFmtId="0" fontId="0" applyNumberFormat="0" applyFont="1" applyFill="0" applyBorder="0" applyAlignment="1" applyProtection="0">
      <alignment vertical="top" wrapText="1"/>
    </xf>
  </cellStyleXfs>
  <cellXfs count="59">
    <xf numFmtId="0" fontId="0" applyNumberFormat="0" applyFont="1" applyFill="0" applyBorder="0" applyAlignment="1" applyProtection="0">
      <alignment vertical="top" wrapText="1"/>
    </xf>
    <xf numFmtId="0" fontId="1" applyNumberFormat="0" applyFont="1" applyFill="0" applyBorder="0" applyAlignment="1" applyProtection="0">
      <alignment horizontal="left" vertical="top" wrapText="1"/>
    </xf>
    <xf numFmtId="0" fontId="2" applyNumberFormat="0" applyFont="1" applyFill="0" applyBorder="0" applyAlignment="1" applyProtection="0">
      <alignment horizontal="left" vertical="top" wrapText="1"/>
    </xf>
    <xf numFmtId="0" fontId="1" fillId="2" applyNumberFormat="0" applyFont="1" applyFill="1" applyBorder="0" applyAlignment="1" applyProtection="0">
      <alignment horizontal="left" vertical="top" wrapText="1"/>
    </xf>
    <xf numFmtId="0" fontId="1" fillId="3" applyNumberFormat="0" applyFont="1" applyFill="1" applyBorder="0" applyAlignment="1" applyProtection="0">
      <alignment horizontal="left" vertical="top" wrapText="1"/>
    </xf>
    <xf numFmtId="0" fontId="3" fillId="3" applyNumberFormat="0" applyFont="1" applyFill="1" applyBorder="0" applyAlignment="1" applyProtection="0">
      <alignment horizontal="left" vertical="top" wrapText="1"/>
    </xf>
    <xf numFmtId="0" fontId="0" applyNumberFormat="1" applyFont="1" applyFill="0" applyBorder="0" applyAlignment="1" applyProtection="0">
      <alignment vertical="top" wrapText="1"/>
    </xf>
    <xf numFmtId="0" fontId="1" applyNumberFormat="0" applyFont="1" applyFill="0" applyBorder="0" applyAlignment="1" applyProtection="0">
      <alignment horizontal="center" vertical="center"/>
    </xf>
    <xf numFmtId="49" fontId="4" fillId="4" borderId="1" applyNumberFormat="1" applyFont="1" applyFill="1" applyBorder="1" applyAlignment="1" applyProtection="0">
      <alignment horizontal="right" vertical="top" wrapText="1"/>
    </xf>
    <xf numFmtId="0" fontId="4" fillId="5" borderId="2" applyNumberFormat="1" applyFont="1" applyFill="1" applyBorder="1" applyAlignment="1" applyProtection="0">
      <alignment vertical="top" wrapText="1"/>
    </xf>
    <xf numFmtId="3" fontId="0" borderId="3" applyNumberFormat="1" applyFont="1" applyFill="0" applyBorder="1" applyAlignment="1" applyProtection="0">
      <alignment vertical="top" wrapText="1"/>
    </xf>
    <xf numFmtId="3" fontId="5" borderId="4" applyNumberFormat="1" applyFont="1" applyFill="0" applyBorder="1" applyAlignment="1" applyProtection="0">
      <alignment horizontal="right" vertical="top" wrapText="1"/>
    </xf>
    <xf numFmtId="0" fontId="0" borderId="4" applyNumberFormat="0" applyFont="1" applyFill="0" applyBorder="1" applyAlignment="1" applyProtection="0">
      <alignment vertical="top" wrapText="1"/>
    </xf>
    <xf numFmtId="59" fontId="5" borderId="4" applyNumberFormat="1" applyFont="1" applyFill="0" applyBorder="1" applyAlignment="1" applyProtection="0">
      <alignment horizontal="right" vertical="top" wrapText="1"/>
    </xf>
    <xf numFmtId="0" fontId="4" fillId="5" borderId="5" applyNumberFormat="0" applyFont="1" applyFill="1" applyBorder="1" applyAlignment="1" applyProtection="0">
      <alignment vertical="top" wrapText="1"/>
    </xf>
    <xf numFmtId="3" fontId="0" borderId="6" applyNumberFormat="1" applyFont="1" applyFill="0" applyBorder="1" applyAlignment="1" applyProtection="0">
      <alignment vertical="top" wrapText="1"/>
    </xf>
    <xf numFmtId="3" fontId="5" borderId="7" applyNumberFormat="1" applyFont="1" applyFill="0" applyBorder="1" applyAlignment="1" applyProtection="0">
      <alignment horizontal="right" vertical="top" wrapText="1"/>
    </xf>
    <xf numFmtId="59" fontId="5" borderId="7" applyNumberFormat="1" applyFont="1" applyFill="0" applyBorder="1" applyAlignment="1" applyProtection="0">
      <alignment horizontal="right" vertical="top" wrapText="1"/>
    </xf>
    <xf numFmtId="0" fontId="4" fillId="5" borderId="5" applyNumberFormat="1" applyFont="1" applyFill="1" applyBorder="1" applyAlignment="1" applyProtection="0">
      <alignment vertical="top" wrapText="1"/>
    </xf>
    <xf numFmtId="3" fontId="0" borderId="7" applyNumberFormat="1" applyFont="1" applyFill="0" applyBorder="1" applyAlignment="1" applyProtection="0">
      <alignment vertical="top" wrapText="1"/>
    </xf>
    <xf numFmtId="0" fontId="0" borderId="7" applyNumberFormat="0" applyFont="1" applyFill="0" applyBorder="1" applyAlignment="1" applyProtection="0">
      <alignment vertical="top" wrapText="1"/>
    </xf>
    <xf numFmtId="59" fontId="0" borderId="7" applyNumberFormat="1" applyFont="1" applyFill="0" applyBorder="1" applyAlignment="1" applyProtection="0">
      <alignment vertical="top" wrapText="1"/>
    </xf>
    <xf numFmtId="0" fontId="0" borderId="6" applyNumberFormat="0" applyFont="1" applyFill="0" applyBorder="1" applyAlignment="1" applyProtection="0">
      <alignment vertical="top" wrapText="1"/>
    </xf>
    <xf numFmtId="38" fontId="0" borderId="7" applyNumberFormat="1" applyFont="1" applyFill="0" applyBorder="1" applyAlignment="1" applyProtection="0">
      <alignment vertical="top" wrapText="1"/>
    </xf>
    <xf numFmtId="60" fontId="0" borderId="7" applyNumberFormat="1" applyFont="1" applyFill="0" applyBorder="1" applyAlignment="1" applyProtection="0">
      <alignment vertical="top" wrapText="1"/>
    </xf>
    <xf numFmtId="0" fontId="0" applyNumberFormat="1" applyFont="1" applyFill="0" applyBorder="0" applyAlignment="1" applyProtection="0">
      <alignment vertical="top" wrapText="1"/>
    </xf>
    <xf numFmtId="38" fontId="0" borderId="3" applyNumberFormat="1" applyFont="1" applyFill="0" applyBorder="1" applyAlignment="1" applyProtection="0">
      <alignment vertical="top" wrapText="1"/>
    </xf>
    <xf numFmtId="38" fontId="0" borderId="4" applyNumberFormat="1" applyFont="1" applyFill="0" applyBorder="1" applyAlignment="1" applyProtection="0">
      <alignment vertical="top" wrapText="1"/>
    </xf>
    <xf numFmtId="38" fontId="0" borderId="6" applyNumberFormat="1" applyFont="1" applyFill="0" applyBorder="1"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4" fillId="4" borderId="1" applyNumberFormat="0" applyFont="1" applyFill="1" applyBorder="1" applyAlignment="1" applyProtection="0">
      <alignment vertical="top" wrapText="1"/>
    </xf>
    <xf numFmtId="49" fontId="4" fillId="4" borderId="1" applyNumberFormat="1" applyFont="1" applyFill="1" applyBorder="1" applyAlignment="1" applyProtection="0">
      <alignment vertical="top" wrapText="1"/>
    </xf>
    <xf numFmtId="3" fontId="0" borderId="4" applyNumberFormat="1" applyFont="1" applyFill="0" applyBorder="1" applyAlignment="1" applyProtection="0">
      <alignment vertical="top" wrapText="1"/>
    </xf>
    <xf numFmtId="1" fontId="0" borderId="6" applyNumberFormat="1" applyFont="1" applyFill="0" applyBorder="1" applyAlignment="1" applyProtection="0">
      <alignment vertical="top" wrapText="1"/>
    </xf>
    <xf numFmtId="1" fontId="0" borderId="7" applyNumberFormat="1" applyFont="1" applyFill="0" applyBorder="1" applyAlignment="1" applyProtection="0">
      <alignment vertical="top" wrapText="1"/>
    </xf>
    <xf numFmtId="0" fontId="0" applyNumberFormat="1" applyFont="1" applyFill="0" applyBorder="0" applyAlignment="1" applyProtection="0">
      <alignment vertical="top" wrapText="1"/>
    </xf>
    <xf numFmtId="49" fontId="4" fillId="6" borderId="2" applyNumberFormat="1" applyFont="1" applyFill="1" applyBorder="1" applyAlignment="1" applyProtection="0">
      <alignment vertical="top" wrapText="1"/>
    </xf>
    <xf numFmtId="0" fontId="0" borderId="3" applyNumberFormat="0" applyFont="1" applyFill="0" applyBorder="1" applyAlignment="1" applyProtection="0">
      <alignment vertical="top" wrapText="1"/>
    </xf>
    <xf numFmtId="49" fontId="4" fillId="5" borderId="5" applyNumberFormat="1" applyFont="1" applyFill="1" applyBorder="1" applyAlignment="1" applyProtection="0">
      <alignment vertical="top" wrapText="1"/>
    </xf>
    <xf numFmtId="61" fontId="0" borderId="6" applyNumberFormat="1" applyFont="1" applyFill="0" applyBorder="1" applyAlignment="1" applyProtection="0">
      <alignment vertical="top" wrapText="1"/>
    </xf>
    <xf numFmtId="61" fontId="0" borderId="7" applyNumberFormat="1" applyFont="1" applyFill="0" applyBorder="1" applyAlignment="1" applyProtection="0">
      <alignment vertical="top" wrapText="1"/>
    </xf>
    <xf numFmtId="59" fontId="0" borderId="6" applyNumberFormat="1" applyFont="1" applyFill="0" applyBorder="1" applyAlignment="1" applyProtection="0">
      <alignment vertical="top" wrapText="1"/>
    </xf>
    <xf numFmtId="49" fontId="4" fillId="7" borderId="5" applyNumberFormat="1" applyFont="1" applyFill="1" applyBorder="1" applyAlignment="1" applyProtection="0">
      <alignment vertical="top" wrapText="1"/>
    </xf>
    <xf numFmtId="49" fontId="4" fillId="8" borderId="5" applyNumberFormat="1" applyFont="1" applyFill="1" applyBorder="1" applyAlignment="1" applyProtection="0">
      <alignment vertical="top" wrapText="1"/>
    </xf>
    <xf numFmtId="0" fontId="0" borderId="6" applyNumberFormat="1" applyFont="1" applyFill="0" applyBorder="1" applyAlignment="1" applyProtection="0">
      <alignment vertical="top" wrapText="1"/>
    </xf>
    <xf numFmtId="0" fontId="0" applyNumberFormat="1" applyFont="1" applyFill="0" applyBorder="0" applyAlignment="1" applyProtection="0">
      <alignment vertical="top" wrapText="1"/>
    </xf>
    <xf numFmtId="49" fontId="4" fillId="5" borderId="2" applyNumberFormat="1" applyFont="1" applyFill="1" applyBorder="1" applyAlignment="1" applyProtection="0">
      <alignment vertical="top" wrapText="1"/>
    </xf>
    <xf numFmtId="62" fontId="0" borderId="6" applyNumberFormat="1" applyFont="1" applyFill="0" applyBorder="1" applyAlignment="1" applyProtection="0">
      <alignment vertical="top" wrapText="1"/>
    </xf>
    <xf numFmtId="62" fontId="0" borderId="7" applyNumberFormat="1" applyFont="1" applyFill="0" applyBorder="1" applyAlignment="1" applyProtection="0">
      <alignment vertical="top" wrapText="1"/>
    </xf>
    <xf numFmtId="0" fontId="0" borderId="7" applyNumberFormat="1" applyFont="1" applyFill="0" applyBorder="1" applyAlignment="1" applyProtection="0">
      <alignment vertical="top" wrapText="1"/>
    </xf>
    <xf numFmtId="63" fontId="0" borderId="6" applyNumberFormat="1" applyFont="1" applyFill="0" applyBorder="1" applyAlignment="1" applyProtection="0">
      <alignment vertical="top" wrapText="1"/>
    </xf>
    <xf numFmtId="63" fontId="0" borderId="7" applyNumberFormat="1" applyFont="1" applyFill="0" applyBorder="1" applyAlignment="1" applyProtection="0">
      <alignment vertical="top" wrapText="1"/>
    </xf>
    <xf numFmtId="4" fontId="0" borderId="6" applyNumberFormat="1" applyFont="1" applyFill="0" applyBorder="1" applyAlignment="1" applyProtection="0">
      <alignment vertical="top" wrapText="1"/>
    </xf>
    <xf numFmtId="4" fontId="0" borderId="7" applyNumberFormat="1" applyFont="1" applyFill="0" applyBorder="1" applyAlignment="1" applyProtection="0">
      <alignment vertical="top" wrapText="1"/>
    </xf>
    <xf numFmtId="40" fontId="0" borderId="6" applyNumberFormat="1" applyFont="1" applyFill="0" applyBorder="1" applyAlignment="1" applyProtection="0">
      <alignment vertical="top" wrapText="1"/>
    </xf>
    <xf numFmtId="40" fontId="0" borderId="7" applyNumberFormat="1" applyFont="1" applyFill="0" applyBorder="1" applyAlignment="1" applyProtection="0">
      <alignment vertical="top" wrapText="1"/>
    </xf>
    <xf numFmtId="64" fontId="0" borderId="6" applyNumberFormat="1" applyFont="1" applyFill="0" applyBorder="1" applyAlignment="1" applyProtection="0">
      <alignment vertical="top" wrapText="1"/>
    </xf>
    <xf numFmtId="64" fontId="0" borderId="7" applyNumberFormat="1" applyFont="1" applyFill="0" applyBorder="1"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bdc0bf"/>
      <rgbColor rgb="ffa5a5a5"/>
      <rgbColor rgb="ff3f3f3f"/>
      <rgbColor rgb="ffdbdbdb"/>
      <rgbColor rgb="ffb1dd8b"/>
      <rgbColor rgb="fffefb41"/>
      <rgbColor rgb="ff52d6fc"/>
      <rgbColor rgb="ffb8b8b8"/>
      <rgbColor rgb="fffefffe"/>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s>

</file>

<file path=xl/charts/chart1.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138833"/>
          <c:y val="0.0426778"/>
          <c:w val="0.853238"/>
          <c:h val="0.886395"/>
        </c:manualLayout>
      </c:layout>
      <c:lineChart>
        <c:grouping val="standard"/>
        <c:varyColors val="0"/>
        <c:ser>
          <c:idx val="0"/>
          <c:order val="0"/>
          <c:tx>
            <c:strRef>
              <c:f>'Cashflow  - Quarterly Cashflow'!$J$3</c:f>
              <c:strCache>
                <c:ptCount val="1"/>
                <c:pt idx="0">
                  <c:v>Free cashflow </c:v>
                </c:pt>
              </c:strCache>
            </c:strRef>
          </c:tx>
          <c:spPr>
            <a:solidFill>
              <a:srgbClr val="FFFFFF"/>
            </a:solidFill>
            <a:ln w="50800" cap="flat">
              <a:solidFill>
                <a:schemeClr val="accent1"/>
              </a:solidFill>
              <a:prstDash val="solid"/>
              <a:miter lim="400000"/>
            </a:ln>
            <a:effectLst/>
          </c:spPr>
          <c:marker>
            <c:symbol val="circle"/>
            <c:size val="4"/>
            <c:spPr>
              <a:solidFill>
                <a:srgbClr val="FFFFFF"/>
              </a:solidFill>
              <a:ln w="50800" cap="flat">
                <a:solidFill>
                  <a:schemeClr val="accent1"/>
                </a:solidFill>
                <a:prstDash val="solid"/>
                <a:miter lim="400000"/>
              </a:ln>
              <a:effectLst/>
            </c:spPr>
          </c:marker>
          <c:dLbls>
            <c:numFmt formatCode="#,##0" sourceLinked="1"/>
            <c:txPr>
              <a:bodyPr/>
              <a:lstStyle/>
              <a:p>
                <a:pPr>
                  <a:defRPr b="0" i="0" strike="noStrike" sz="1200" u="none">
                    <a:solidFill>
                      <a:srgbClr val="000000"/>
                    </a:solidFill>
                    <a:latin typeface="Helvetica Neue"/>
                  </a:defRPr>
                </a:pPr>
              </a:p>
            </c:txPr>
            <c:dLblPos val="b"/>
            <c:showLegendKey val="0"/>
            <c:showVal val="0"/>
            <c:showCatName val="0"/>
            <c:showSerName val="0"/>
            <c:showPercent val="0"/>
            <c:showBubbleSize val="0"/>
            <c:showLeaderLines val="0"/>
          </c:dLbls>
          <c:cat>
            <c:strRef>
              <c:f>'Cashflow  - Quarterly Cashflow'!$B$4:$B$20</c:f>
              <c:strCache>
                <c:ptCount val="17"/>
                <c:pt idx="0">
                  <c:v>2017</c:v>
                </c:pt>
                <c:pt idx="1">
                  <c:v/>
                </c:pt>
                <c:pt idx="2">
                  <c:v/>
                </c:pt>
                <c:pt idx="3">
                  <c:v/>
                </c:pt>
                <c:pt idx="4">
                  <c:v>2018</c:v>
                </c:pt>
                <c:pt idx="5">
                  <c:v/>
                </c:pt>
                <c:pt idx="6">
                  <c:v/>
                </c:pt>
                <c:pt idx="7">
                  <c:v/>
                </c:pt>
                <c:pt idx="8">
                  <c:v>2019</c:v>
                </c:pt>
                <c:pt idx="9">
                  <c:v/>
                </c:pt>
                <c:pt idx="10">
                  <c:v/>
                </c:pt>
                <c:pt idx="11">
                  <c:v/>
                </c:pt>
                <c:pt idx="12">
                  <c:v>2020</c:v>
                </c:pt>
                <c:pt idx="13">
                  <c:v/>
                </c:pt>
                <c:pt idx="14">
                  <c:v/>
                </c:pt>
                <c:pt idx="15">
                  <c:v/>
                </c:pt>
                <c:pt idx="16">
                  <c:v/>
                </c:pt>
              </c:strCache>
            </c:strRef>
          </c:cat>
          <c:val>
            <c:numRef>
              <c:f>'Cashflow  - Quarterly Cashflow'!$J$4:$J$20</c:f>
              <c:numCache>
                <c:ptCount val="16"/>
                <c:pt idx="0">
                  <c:v>603.000000</c:v>
                </c:pt>
                <c:pt idx="1">
                  <c:v>747.000000</c:v>
                </c:pt>
                <c:pt idx="2">
                  <c:v>841.000000</c:v>
                </c:pt>
                <c:pt idx="3">
                  <c:v>-327.000000</c:v>
                </c:pt>
                <c:pt idx="4">
                  <c:v>-527.000000</c:v>
                </c:pt>
                <c:pt idx="5">
                  <c:v>-170.000000</c:v>
                </c:pt>
                <c:pt idx="6">
                  <c:v>4447.000000</c:v>
                </c:pt>
                <c:pt idx="7">
                  <c:v>910.000000</c:v>
                </c:pt>
                <c:pt idx="8">
                  <c:v>809.000000</c:v>
                </c:pt>
                <c:pt idx="9">
                  <c:v>1035.000000</c:v>
                </c:pt>
                <c:pt idx="10">
                  <c:v>923.000000</c:v>
                </c:pt>
                <c:pt idx="11">
                  <c:v>1090.000000</c:v>
                </c:pt>
                <c:pt idx="12">
                  <c:v>1298.000000</c:v>
                </c:pt>
                <c:pt idx="13">
                  <c:v>2190.000000</c:v>
                </c:pt>
                <c:pt idx="14">
                  <c:v>479.000000</c:v>
                </c:pt>
                <c:pt idx="15">
                  <c:v>1121.000000</c:v>
                </c:pt>
              </c:numCache>
            </c:numRef>
          </c:val>
          <c:smooth val="0"/>
        </c:ser>
        <c:ser>
          <c:idx val="1"/>
          <c:order val="1"/>
          <c:tx>
            <c:strRef>
              <c:f>'Cashflow  - Quarterly Cashflow'!$K$3</c:f>
              <c:strCache>
                <c:ptCount val="1"/>
                <c:pt idx="0">
                  <c:v>Forecast </c:v>
                </c:pt>
              </c:strCache>
            </c:strRef>
          </c:tx>
          <c:spPr>
            <a:solidFill>
              <a:srgbClr val="FFFFFF"/>
            </a:solidFill>
            <a:ln w="50800" cap="flat">
              <a:solidFill>
                <a:schemeClr val="accent3"/>
              </a:solidFill>
              <a:prstDash val="solid"/>
              <a:miter lim="400000"/>
            </a:ln>
            <a:effectLst/>
          </c:spPr>
          <c:marker>
            <c:symbol val="circle"/>
            <c:size val="4"/>
            <c:spPr>
              <a:solidFill>
                <a:srgbClr val="FFFFFF"/>
              </a:solidFill>
              <a:ln w="50800" cap="flat">
                <a:solidFill>
                  <a:schemeClr val="accent3"/>
                </a:solidFill>
                <a:prstDash val="solid"/>
                <a:miter lim="400000"/>
              </a:ln>
              <a:effectLst/>
            </c:spPr>
          </c:marker>
          <c:dLbls>
            <c:numFmt formatCode="#,##0" sourceLinked="1"/>
            <c:txPr>
              <a:bodyPr/>
              <a:lstStyle/>
              <a:p>
                <a:pPr>
                  <a:defRPr b="0" i="0" strike="noStrike" sz="1200" u="none">
                    <a:solidFill>
                      <a:srgbClr val="000000"/>
                    </a:solidFill>
                    <a:latin typeface="Helvetica Neue"/>
                  </a:defRPr>
                </a:pPr>
              </a:p>
            </c:txPr>
            <c:dLblPos val="b"/>
            <c:showLegendKey val="0"/>
            <c:showVal val="0"/>
            <c:showCatName val="0"/>
            <c:showSerName val="0"/>
            <c:showPercent val="0"/>
            <c:showBubbleSize val="0"/>
            <c:showLeaderLines val="0"/>
          </c:dLbls>
          <c:cat>
            <c:strRef>
              <c:f>'Cashflow  - Quarterly Cashflow'!$B$4:$B$20</c:f>
              <c:strCache>
                <c:ptCount val="17"/>
                <c:pt idx="0">
                  <c:v>2017</c:v>
                </c:pt>
                <c:pt idx="1">
                  <c:v/>
                </c:pt>
                <c:pt idx="2">
                  <c:v/>
                </c:pt>
                <c:pt idx="3">
                  <c:v/>
                </c:pt>
                <c:pt idx="4">
                  <c:v>2018</c:v>
                </c:pt>
                <c:pt idx="5">
                  <c:v/>
                </c:pt>
                <c:pt idx="6">
                  <c:v/>
                </c:pt>
                <c:pt idx="7">
                  <c:v/>
                </c:pt>
                <c:pt idx="8">
                  <c:v>2019</c:v>
                </c:pt>
                <c:pt idx="9">
                  <c:v/>
                </c:pt>
                <c:pt idx="10">
                  <c:v/>
                </c:pt>
                <c:pt idx="11">
                  <c:v/>
                </c:pt>
                <c:pt idx="12">
                  <c:v>2020</c:v>
                </c:pt>
                <c:pt idx="13">
                  <c:v/>
                </c:pt>
                <c:pt idx="14">
                  <c:v/>
                </c:pt>
                <c:pt idx="15">
                  <c:v/>
                </c:pt>
                <c:pt idx="16">
                  <c:v/>
                </c:pt>
              </c:strCache>
            </c:strRef>
          </c:cat>
          <c:val>
            <c:numRef>
              <c:f>'Cashflow  - Quarterly Cashflow'!$K$4:$K$20</c:f>
              <c:numCache>
                <c:ptCount val="2"/>
                <c:pt idx="15">
                  <c:v>1272.000000</c:v>
                </c:pt>
                <c:pt idx="16">
                  <c:v>1767.790344</c:v>
                </c:pt>
              </c:numCache>
            </c:numRef>
          </c:val>
          <c:smooth val="0"/>
        </c:ser>
        <c:marker val="1"/>
        <c:axId val="2094734552"/>
        <c:axId val="2094734553"/>
      </c:lineChart>
      <c:catAx>
        <c:axId val="2094734552"/>
        <c:scaling>
          <c:orientation val="minMax"/>
        </c:scaling>
        <c:delete val="0"/>
        <c:axPos val="b"/>
        <c:numFmt formatCode="#,##0_);[Red]\(#,##0\)" sourceLinked="1"/>
        <c:majorTickMark val="none"/>
        <c:minorTickMark val="none"/>
        <c:tickLblPos val="low"/>
        <c:spPr>
          <a:ln w="12700" cap="flat">
            <a:solidFill>
              <a:srgbClr val="000000"/>
            </a:solidFill>
            <a:prstDash val="solid"/>
            <a:miter lim="400000"/>
          </a:ln>
        </c:spPr>
        <c:txPr>
          <a:bodyPr rot="0"/>
          <a:lstStyle/>
          <a:p>
            <a:pPr>
              <a:defRPr b="0" i="0" strike="noStrike" sz="1000" u="none">
                <a:solidFill>
                  <a:srgbClr val="000000"/>
                </a:solidFill>
                <a:latin typeface="Helvetica Neue"/>
              </a:defRPr>
            </a:pPr>
          </a:p>
        </c:txPr>
        <c:crossAx val="2094734553"/>
        <c:crosses val="autoZero"/>
        <c:auto val="1"/>
        <c:lblAlgn val="ctr"/>
        <c:noMultiLvlLbl val="1"/>
      </c:catAx>
      <c:valAx>
        <c:axId val="2094734553"/>
        <c:scaling>
          <c:orientation val="minMax"/>
        </c:scaling>
        <c:delete val="0"/>
        <c:axPos val="l"/>
        <c:majorGridlines>
          <c:spPr>
            <a:ln w="6350" cap="flat">
              <a:solidFill>
                <a:srgbClr val="B8B8B8"/>
              </a:solidFill>
              <a:prstDash val="solid"/>
              <a:miter lim="400000"/>
            </a:ln>
          </c:spPr>
        </c:majorGridlines>
        <c:numFmt formatCode="#,##0_);[Red]\(#,##0\)" sourceLinked="1"/>
        <c:majorTickMark val="none"/>
        <c:minorTickMark val="none"/>
        <c:tickLblPos val="nextTo"/>
        <c:spPr>
          <a:ln w="12700" cap="flat">
            <a:noFill/>
            <a:prstDash val="solid"/>
            <a:miter lim="400000"/>
          </a:ln>
        </c:spPr>
        <c:txPr>
          <a:bodyPr rot="0"/>
          <a:lstStyle/>
          <a:p>
            <a:pPr>
              <a:defRPr b="0" i="0" strike="noStrike" sz="1000" u="none">
                <a:solidFill>
                  <a:srgbClr val="000000"/>
                </a:solidFill>
                <a:latin typeface="Helvetica Neue"/>
              </a:defRPr>
            </a:pPr>
          </a:p>
        </c:txPr>
        <c:crossAx val="2094734552"/>
        <c:crosses val="autoZero"/>
        <c:crossBetween val="midCat"/>
        <c:majorUnit val="2222.22"/>
        <c:minorUnit val="1111.11"/>
      </c:valAx>
      <c:spPr>
        <a:noFill/>
        <a:ln w="12700" cap="flat">
          <a:noFill/>
          <a:miter lim="400000"/>
        </a:ln>
        <a:effectLst/>
      </c:spPr>
    </c:plotArea>
    <c:legend>
      <c:legendPos val="r"/>
      <c:layout>
        <c:manualLayout>
          <c:xMode val="edge"/>
          <c:yMode val="edge"/>
          <c:x val="0.631753"/>
          <c:y val="0.0700578"/>
          <c:w val="0.307234"/>
          <c:h val="0.110356"/>
        </c:manualLayout>
      </c:layout>
      <c:overlay val="1"/>
      <c:spPr>
        <a:noFill/>
        <a:ln w="12700" cap="flat">
          <a:noFill/>
          <a:miter lim="400000"/>
        </a:ln>
        <a:effectLst/>
      </c:spPr>
      <c:txPr>
        <a:bodyPr rot="0"/>
        <a:lstStyle/>
        <a:p>
          <a:pPr>
            <a:defRPr b="0" i="0" strike="noStrike" sz="1000" u="none">
              <a:solidFill>
                <a:srgbClr val="000000"/>
              </a:solidFill>
              <a:latin typeface="Helvetica Neue"/>
            </a:defRPr>
          </a:pPr>
        </a:p>
      </c:txPr>
    </c:legend>
    <c:plotVisOnly val="1"/>
    <c:dispBlanksAs val="gap"/>
  </c:chart>
  <c:spPr>
    <a:noFill/>
    <a:ln>
      <a:noFill/>
    </a:ln>
    <a:effectLst/>
  </c:spPr>
</c:chartSpace>
</file>

<file path=xl/charts/chart2.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123589"/>
          <c:y val="0.0426778"/>
          <c:w val="0.868361"/>
          <c:h val="0.886395"/>
        </c:manualLayout>
      </c:layout>
      <c:lineChart>
        <c:grouping val="standard"/>
        <c:varyColors val="0"/>
        <c:ser>
          <c:idx val="0"/>
          <c:order val="0"/>
          <c:tx>
            <c:strRef>
              <c:f>'Sales - Quarterly sales'!$C$3</c:f>
              <c:strCache>
                <c:ptCount val="1"/>
                <c:pt idx="0">
                  <c:v>Total sales</c:v>
                </c:pt>
              </c:strCache>
            </c:strRef>
          </c:tx>
          <c:spPr>
            <a:solidFill>
              <a:srgbClr val="FFFFFF"/>
            </a:solidFill>
            <a:ln w="50800" cap="flat">
              <a:solidFill>
                <a:schemeClr val="accent1"/>
              </a:solidFill>
              <a:prstDash val="solid"/>
              <a:miter lim="400000"/>
            </a:ln>
            <a:effectLst/>
          </c:spPr>
          <c:marker>
            <c:symbol val="circle"/>
            <c:size val="4"/>
            <c:spPr>
              <a:solidFill>
                <a:srgbClr val="FFFFFF"/>
              </a:solidFill>
              <a:ln w="50800" cap="flat">
                <a:solidFill>
                  <a:schemeClr val="accent1"/>
                </a:solidFill>
                <a:prstDash val="solid"/>
                <a:miter lim="400000"/>
              </a:ln>
              <a:effectLst/>
            </c:spPr>
          </c:marker>
          <c:dLbls>
            <c:numFmt formatCode="#,##0" sourceLinked="1"/>
            <c:txPr>
              <a:bodyPr/>
              <a:lstStyle/>
              <a:p>
                <a:pPr>
                  <a:defRPr b="0" i="0" strike="noStrike" sz="1200" u="none">
                    <a:solidFill>
                      <a:srgbClr val="000000"/>
                    </a:solidFill>
                    <a:latin typeface="Helvetica Neue"/>
                  </a:defRPr>
                </a:pPr>
              </a:p>
            </c:txPr>
            <c:dLblPos val="b"/>
            <c:showLegendKey val="0"/>
            <c:showVal val="0"/>
            <c:showCatName val="0"/>
            <c:showSerName val="0"/>
            <c:showPercent val="0"/>
            <c:showBubbleSize val="0"/>
            <c:showLeaderLines val="0"/>
          </c:dLbls>
          <c:cat>
            <c:strRef>
              <c:f>'Sales - Quarterly sales'!$B$4:$B$22</c:f>
              <c:strCache>
                <c:ptCount val="19"/>
                <c:pt idx="0">
                  <c:v>2017</c:v>
                </c:pt>
                <c:pt idx="1">
                  <c:v/>
                </c:pt>
                <c:pt idx="2">
                  <c:v/>
                </c:pt>
                <c:pt idx="3">
                  <c:v/>
                </c:pt>
                <c:pt idx="4">
                  <c:v>2018</c:v>
                </c:pt>
                <c:pt idx="5">
                  <c:v/>
                </c:pt>
                <c:pt idx="6">
                  <c:v/>
                </c:pt>
                <c:pt idx="7">
                  <c:v/>
                </c:pt>
                <c:pt idx="8">
                  <c:v>2019</c:v>
                </c:pt>
                <c:pt idx="9">
                  <c:v/>
                </c:pt>
                <c:pt idx="10">
                  <c:v/>
                </c:pt>
                <c:pt idx="11">
                  <c:v/>
                </c:pt>
                <c:pt idx="12">
                  <c:v>2020</c:v>
                </c:pt>
                <c:pt idx="13">
                  <c:v/>
                </c:pt>
                <c:pt idx="14">
                  <c:v/>
                </c:pt>
                <c:pt idx="15">
                  <c:v/>
                </c:pt>
                <c:pt idx="16">
                  <c:v>2021</c:v>
                </c:pt>
                <c:pt idx="17">
                  <c:v/>
                </c:pt>
                <c:pt idx="18">
                  <c:v/>
                </c:pt>
              </c:strCache>
            </c:strRef>
          </c:cat>
          <c:val>
            <c:numRef>
              <c:f>'Sales - Quarterly sales'!$C$4:$C$22</c:f>
              <c:numCache>
                <c:ptCount val="16"/>
                <c:pt idx="0">
                  <c:v>2975.000000</c:v>
                </c:pt>
                <c:pt idx="1">
                  <c:v>3136.000000</c:v>
                </c:pt>
                <c:pt idx="2">
                  <c:v>3239.000000</c:v>
                </c:pt>
                <c:pt idx="3">
                  <c:v>3705.000000</c:v>
                </c:pt>
                <c:pt idx="4">
                  <c:v>3685.000000</c:v>
                </c:pt>
                <c:pt idx="5">
                  <c:v>3857.000000</c:v>
                </c:pt>
                <c:pt idx="6">
                  <c:v>3683.000000</c:v>
                </c:pt>
                <c:pt idx="7">
                  <c:v>4226.000000</c:v>
                </c:pt>
                <c:pt idx="8">
                  <c:v>4128.000000</c:v>
                </c:pt>
                <c:pt idx="9">
                  <c:v>4305.000000</c:v>
                </c:pt>
                <c:pt idx="10">
                  <c:v>4378.000000</c:v>
                </c:pt>
                <c:pt idx="11">
                  <c:v>4961.000000</c:v>
                </c:pt>
                <c:pt idx="12">
                  <c:v>4618.000000</c:v>
                </c:pt>
                <c:pt idx="13">
                  <c:v>5261.000000</c:v>
                </c:pt>
                <c:pt idx="14">
                  <c:v>5459.000000</c:v>
                </c:pt>
                <c:pt idx="15">
                  <c:v>6116.000000</c:v>
                </c:pt>
              </c:numCache>
            </c:numRef>
          </c:val>
          <c:smooth val="0"/>
        </c:ser>
        <c:ser>
          <c:idx val="1"/>
          <c:order val="1"/>
          <c:tx>
            <c:strRef>
              <c:f>'Sales - Quarterly sales'!$D$3</c:f>
              <c:strCache>
                <c:ptCount val="1"/>
                <c:pt idx="0">
                  <c:v>Forecast </c:v>
                </c:pt>
              </c:strCache>
            </c:strRef>
          </c:tx>
          <c:spPr>
            <a:solidFill>
              <a:srgbClr val="FFFFFF"/>
            </a:solidFill>
            <a:ln w="50800" cap="flat">
              <a:solidFill>
                <a:schemeClr val="accent3"/>
              </a:solidFill>
              <a:prstDash val="solid"/>
              <a:miter lim="400000"/>
            </a:ln>
            <a:effectLst/>
          </c:spPr>
          <c:marker>
            <c:symbol val="circle"/>
            <c:size val="4"/>
            <c:spPr>
              <a:solidFill>
                <a:srgbClr val="FFFFFF"/>
              </a:solidFill>
              <a:ln w="50800" cap="flat">
                <a:solidFill>
                  <a:schemeClr val="accent3"/>
                </a:solidFill>
                <a:prstDash val="solid"/>
                <a:miter lim="400000"/>
              </a:ln>
              <a:effectLst/>
            </c:spPr>
          </c:marker>
          <c:dLbls>
            <c:numFmt formatCode="#,##0" sourceLinked="1"/>
            <c:txPr>
              <a:bodyPr/>
              <a:lstStyle/>
              <a:p>
                <a:pPr>
                  <a:defRPr b="0" i="0" strike="noStrike" sz="1200" u="none">
                    <a:solidFill>
                      <a:srgbClr val="000000"/>
                    </a:solidFill>
                    <a:latin typeface="Helvetica Neue"/>
                  </a:defRPr>
                </a:pPr>
              </a:p>
            </c:txPr>
            <c:dLblPos val="b"/>
            <c:showLegendKey val="0"/>
            <c:showVal val="0"/>
            <c:showCatName val="0"/>
            <c:showSerName val="0"/>
            <c:showPercent val="0"/>
            <c:showBubbleSize val="0"/>
            <c:showLeaderLines val="0"/>
          </c:dLbls>
          <c:cat>
            <c:strRef>
              <c:f>'Sales - Quarterly sales'!$B$4:$B$22</c:f>
              <c:strCache>
                <c:ptCount val="19"/>
                <c:pt idx="0">
                  <c:v>2017</c:v>
                </c:pt>
                <c:pt idx="1">
                  <c:v/>
                </c:pt>
                <c:pt idx="2">
                  <c:v/>
                </c:pt>
                <c:pt idx="3">
                  <c:v/>
                </c:pt>
                <c:pt idx="4">
                  <c:v>2018</c:v>
                </c:pt>
                <c:pt idx="5">
                  <c:v/>
                </c:pt>
                <c:pt idx="6">
                  <c:v/>
                </c:pt>
                <c:pt idx="7">
                  <c:v/>
                </c:pt>
                <c:pt idx="8">
                  <c:v>2019</c:v>
                </c:pt>
                <c:pt idx="9">
                  <c:v/>
                </c:pt>
                <c:pt idx="10">
                  <c:v/>
                </c:pt>
                <c:pt idx="11">
                  <c:v/>
                </c:pt>
                <c:pt idx="12">
                  <c:v>2020</c:v>
                </c:pt>
                <c:pt idx="13">
                  <c:v/>
                </c:pt>
                <c:pt idx="14">
                  <c:v/>
                </c:pt>
                <c:pt idx="15">
                  <c:v/>
                </c:pt>
                <c:pt idx="16">
                  <c:v>2021</c:v>
                </c:pt>
                <c:pt idx="17">
                  <c:v/>
                </c:pt>
                <c:pt idx="18">
                  <c:v/>
                </c:pt>
              </c:strCache>
            </c:strRef>
          </c:cat>
          <c:val>
            <c:numRef>
              <c:f>'Sales - Quarterly sales'!$D$4:$D$22</c:f>
              <c:numCache>
                <c:ptCount val="5"/>
                <c:pt idx="14">
                  <c:v>5459.000000</c:v>
                </c:pt>
                <c:pt idx="15">
                  <c:v>5950.310000</c:v>
                </c:pt>
                <c:pt idx="16">
                  <c:v>6297.033600</c:v>
                </c:pt>
                <c:pt idx="17">
                  <c:v>6485.944608</c:v>
                </c:pt>
                <c:pt idx="18">
                  <c:v>7134.539069</c:v>
                </c:pt>
              </c:numCache>
            </c:numRef>
          </c:val>
          <c:smooth val="0"/>
        </c:ser>
        <c:marker val="1"/>
        <c:axId val="2094734552"/>
        <c:axId val="2094734553"/>
      </c:lineChart>
      <c:catAx>
        <c:axId val="2094734552"/>
        <c:scaling>
          <c:orientation val="minMax"/>
        </c:scaling>
        <c:delete val="0"/>
        <c:axPos val="b"/>
        <c:numFmt formatCode="#,##0" sourceLinked="1"/>
        <c:majorTickMark val="none"/>
        <c:minorTickMark val="none"/>
        <c:tickLblPos val="low"/>
        <c:spPr>
          <a:ln w="12700" cap="flat">
            <a:solidFill>
              <a:srgbClr val="000000"/>
            </a:solidFill>
            <a:prstDash val="solid"/>
            <a:miter lim="400000"/>
          </a:ln>
        </c:spPr>
        <c:txPr>
          <a:bodyPr rot="0"/>
          <a:lstStyle/>
          <a:p>
            <a:pPr>
              <a:defRPr b="0" i="0" strike="noStrike" sz="1000" u="none">
                <a:solidFill>
                  <a:srgbClr val="000000"/>
                </a:solidFill>
                <a:latin typeface="Helvetica Neue"/>
              </a:defRPr>
            </a:pPr>
          </a:p>
        </c:txPr>
        <c:crossAx val="2094734553"/>
        <c:crosses val="autoZero"/>
        <c:auto val="1"/>
        <c:lblAlgn val="ctr"/>
        <c:noMultiLvlLbl val="1"/>
      </c:catAx>
      <c:valAx>
        <c:axId val="2094734553"/>
        <c:scaling>
          <c:orientation val="minMax"/>
          <c:min val="2500"/>
        </c:scaling>
        <c:delete val="0"/>
        <c:axPos val="l"/>
        <c:majorGridlines>
          <c:spPr>
            <a:ln w="6350" cap="flat">
              <a:solidFill>
                <a:srgbClr val="B8B8B8"/>
              </a:solidFill>
              <a:prstDash val="solid"/>
              <a:miter lim="400000"/>
            </a:ln>
          </c:spPr>
        </c:majorGridlines>
        <c:numFmt formatCode="#,##0" sourceLinked="1"/>
        <c:majorTickMark val="none"/>
        <c:minorTickMark val="none"/>
        <c:tickLblPos val="nextTo"/>
        <c:spPr>
          <a:ln w="12700" cap="flat">
            <a:noFill/>
            <a:prstDash val="solid"/>
            <a:miter lim="400000"/>
          </a:ln>
        </c:spPr>
        <c:txPr>
          <a:bodyPr rot="0"/>
          <a:lstStyle/>
          <a:p>
            <a:pPr>
              <a:defRPr b="0" i="0" strike="noStrike" sz="1000" u="none">
                <a:solidFill>
                  <a:srgbClr val="000000"/>
                </a:solidFill>
                <a:latin typeface="Helvetica Neue"/>
              </a:defRPr>
            </a:pPr>
          </a:p>
        </c:txPr>
        <c:crossAx val="2094734552"/>
        <c:crosses val="autoZero"/>
        <c:crossBetween val="midCat"/>
        <c:majorUnit val="1375"/>
        <c:minorUnit val="687.5"/>
      </c:valAx>
      <c:spPr>
        <a:noFill/>
        <a:ln w="12700" cap="flat">
          <a:noFill/>
          <a:miter lim="400000"/>
        </a:ln>
        <a:effectLst/>
      </c:spPr>
    </c:plotArea>
    <c:legend>
      <c:legendPos val="r"/>
      <c:layout>
        <c:manualLayout>
          <c:xMode val="edge"/>
          <c:yMode val="edge"/>
          <c:x val="0.260102"/>
          <c:y val="0.095955"/>
          <c:w val="0.251572"/>
          <c:h val="0.110356"/>
        </c:manualLayout>
      </c:layout>
      <c:overlay val="1"/>
      <c:spPr>
        <a:noFill/>
        <a:ln w="12700" cap="flat">
          <a:noFill/>
          <a:miter lim="400000"/>
        </a:ln>
        <a:effectLst/>
      </c:spPr>
      <c:txPr>
        <a:bodyPr rot="0"/>
        <a:lstStyle/>
        <a:p>
          <a:pPr>
            <a:defRPr b="0" i="0" strike="noStrike" sz="1000" u="none">
              <a:solidFill>
                <a:srgbClr val="000000"/>
              </a:solidFill>
              <a:latin typeface="Helvetica Neue"/>
            </a:defRPr>
          </a:pPr>
        </a:p>
      </c:txPr>
    </c:legend>
    <c:plotVisOnly val="1"/>
    <c:dispBlanksAs val="gap"/>
  </c:chart>
  <c:spPr>
    <a:noFill/>
    <a:ln>
      <a:noFill/>
    </a:ln>
    <a:effectLst/>
  </c:spPr>
</c:chartSpace>
</file>

<file path=xl/charts/chart3.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0947355"/>
          <c:y val="0.0426778"/>
          <c:w val="0.884701"/>
          <c:h val="0.886395"/>
        </c:manualLayout>
      </c:layout>
      <c:lineChart>
        <c:grouping val="standard"/>
        <c:varyColors val="0"/>
        <c:ser>
          <c:idx val="0"/>
          <c:order val="0"/>
          <c:tx>
            <c:strRef>
              <c:f>'Share price - MCD'!$C$2</c:f>
              <c:strCache>
                <c:ptCount val="1"/>
                <c:pt idx="0">
                  <c:v>PYPL</c:v>
                </c:pt>
              </c:strCache>
            </c:strRef>
          </c:tx>
          <c:spPr>
            <a:solidFill>
              <a:srgbClr val="FFFFFF"/>
            </a:solidFill>
            <a:ln w="50800" cap="flat">
              <a:solidFill>
                <a:schemeClr val="accent1"/>
              </a:solidFill>
              <a:prstDash val="solid"/>
              <a:miter lim="400000"/>
            </a:ln>
            <a:effectLst/>
          </c:spPr>
          <c:marker>
            <c:symbol val="circle"/>
            <c:size val="4"/>
            <c:spPr>
              <a:solidFill>
                <a:srgbClr val="FFFFFF"/>
              </a:solidFill>
              <a:ln w="50800" cap="flat">
                <a:solidFill>
                  <a:schemeClr val="accent1"/>
                </a:solidFill>
                <a:prstDash val="solid"/>
                <a:miter lim="400000"/>
              </a:ln>
              <a:effectLst/>
            </c:spPr>
          </c:marker>
          <c:dLbls>
            <c:numFmt formatCode="#,##0" sourceLinked="1"/>
            <c:txPr>
              <a:bodyPr/>
              <a:lstStyle/>
              <a:p>
                <a:pPr>
                  <a:defRPr b="0" i="0" strike="noStrike" sz="1200" u="none">
                    <a:solidFill>
                      <a:srgbClr val="000000"/>
                    </a:solidFill>
                    <a:latin typeface="Helvetica Neue"/>
                  </a:defRPr>
                </a:pPr>
              </a:p>
            </c:txPr>
            <c:dLblPos val="b"/>
            <c:showLegendKey val="0"/>
            <c:showVal val="0"/>
            <c:showCatName val="0"/>
            <c:showSerName val="0"/>
            <c:showPercent val="0"/>
            <c:showBubbleSize val="0"/>
            <c:showLeaderLines val="0"/>
          </c:dLbls>
          <c:cat>
            <c:strRef>
              <c:f>'Share price - MCD'!$A$3:$A$52</c:f>
              <c:strCache>
                <c:ptCount val="50"/>
                <c:pt idx="0">
                  <c:v>2017</c:v>
                </c:pt>
                <c:pt idx="1">
                  <c:v/>
                </c:pt>
                <c:pt idx="2">
                  <c:v/>
                </c:pt>
                <c:pt idx="3">
                  <c:v/>
                </c:pt>
                <c:pt idx="4">
                  <c:v/>
                </c:pt>
                <c:pt idx="5">
                  <c:v/>
                </c:pt>
                <c:pt idx="6">
                  <c:v/>
                </c:pt>
                <c:pt idx="7">
                  <c:v/>
                </c:pt>
                <c:pt idx="8">
                  <c:v/>
                </c:pt>
                <c:pt idx="9">
                  <c:v/>
                </c:pt>
                <c:pt idx="10">
                  <c:v/>
                </c:pt>
                <c:pt idx="11">
                  <c:v/>
                </c:pt>
                <c:pt idx="12">
                  <c:v>2018</c:v>
                </c:pt>
                <c:pt idx="13">
                  <c:v/>
                </c:pt>
                <c:pt idx="14">
                  <c:v/>
                </c:pt>
                <c:pt idx="15">
                  <c:v/>
                </c:pt>
                <c:pt idx="16">
                  <c:v/>
                </c:pt>
                <c:pt idx="17">
                  <c:v/>
                </c:pt>
                <c:pt idx="18">
                  <c:v/>
                </c:pt>
                <c:pt idx="19">
                  <c:v/>
                </c:pt>
                <c:pt idx="20">
                  <c:v/>
                </c:pt>
                <c:pt idx="21">
                  <c:v/>
                </c:pt>
                <c:pt idx="22">
                  <c:v/>
                </c:pt>
                <c:pt idx="23">
                  <c:v/>
                </c:pt>
                <c:pt idx="24">
                  <c:v>2019</c:v>
                </c:pt>
                <c:pt idx="25">
                  <c:v/>
                </c:pt>
                <c:pt idx="26">
                  <c:v/>
                </c:pt>
                <c:pt idx="27">
                  <c:v/>
                </c:pt>
                <c:pt idx="28">
                  <c:v/>
                </c:pt>
                <c:pt idx="29">
                  <c:v/>
                </c:pt>
                <c:pt idx="30">
                  <c:v/>
                </c:pt>
                <c:pt idx="31">
                  <c:v/>
                </c:pt>
                <c:pt idx="32">
                  <c:v/>
                </c:pt>
                <c:pt idx="33">
                  <c:v/>
                </c:pt>
                <c:pt idx="34">
                  <c:v/>
                </c:pt>
                <c:pt idx="35">
                  <c:v/>
                </c:pt>
                <c:pt idx="36">
                  <c:v>2020</c:v>
                </c:pt>
                <c:pt idx="37">
                  <c:v/>
                </c:pt>
                <c:pt idx="38">
                  <c:v/>
                </c:pt>
                <c:pt idx="39">
                  <c:v/>
                </c:pt>
                <c:pt idx="40">
                  <c:v/>
                </c:pt>
                <c:pt idx="41">
                  <c:v/>
                </c:pt>
                <c:pt idx="42">
                  <c:v/>
                </c:pt>
                <c:pt idx="43">
                  <c:v/>
                </c:pt>
                <c:pt idx="44">
                  <c:v/>
                </c:pt>
                <c:pt idx="45">
                  <c:v/>
                </c:pt>
                <c:pt idx="46">
                  <c:v/>
                </c:pt>
                <c:pt idx="47">
                  <c:v/>
                </c:pt>
                <c:pt idx="48">
                  <c:v>2021</c:v>
                </c:pt>
                <c:pt idx="49">
                  <c:v/>
                </c:pt>
              </c:strCache>
            </c:strRef>
          </c:cat>
          <c:val>
            <c:numRef>
              <c:f>'Share price - MCD'!$C$3:$C$52</c:f>
              <c:numCache>
                <c:ptCount val="50"/>
                <c:pt idx="0">
                  <c:v>39.779999</c:v>
                </c:pt>
                <c:pt idx="1">
                  <c:v>42.000000</c:v>
                </c:pt>
                <c:pt idx="2">
                  <c:v>43.020000</c:v>
                </c:pt>
                <c:pt idx="3">
                  <c:v>47.720001</c:v>
                </c:pt>
                <c:pt idx="4">
                  <c:v>52.209999</c:v>
                </c:pt>
                <c:pt idx="5">
                  <c:v>53.669998</c:v>
                </c:pt>
                <c:pt idx="6">
                  <c:v>58.549999</c:v>
                </c:pt>
                <c:pt idx="7">
                  <c:v>61.680000</c:v>
                </c:pt>
                <c:pt idx="8">
                  <c:v>64.029999</c:v>
                </c:pt>
                <c:pt idx="9">
                  <c:v>72.559998</c:v>
                </c:pt>
                <c:pt idx="10">
                  <c:v>75.730003</c:v>
                </c:pt>
                <c:pt idx="11">
                  <c:v>73.620003</c:v>
                </c:pt>
                <c:pt idx="12">
                  <c:v>85.320000</c:v>
                </c:pt>
                <c:pt idx="13">
                  <c:v>79.410004</c:v>
                </c:pt>
                <c:pt idx="14">
                  <c:v>75.870003</c:v>
                </c:pt>
                <c:pt idx="15">
                  <c:v>74.610001</c:v>
                </c:pt>
                <c:pt idx="16">
                  <c:v>82.070000</c:v>
                </c:pt>
                <c:pt idx="17">
                  <c:v>83.269997</c:v>
                </c:pt>
                <c:pt idx="18">
                  <c:v>82.139999</c:v>
                </c:pt>
                <c:pt idx="19">
                  <c:v>92.330002</c:v>
                </c:pt>
                <c:pt idx="20">
                  <c:v>87.839996</c:v>
                </c:pt>
                <c:pt idx="21">
                  <c:v>84.190002</c:v>
                </c:pt>
                <c:pt idx="22">
                  <c:v>85.809998</c:v>
                </c:pt>
                <c:pt idx="23">
                  <c:v>84.089996</c:v>
                </c:pt>
                <c:pt idx="24">
                  <c:v>88.760002</c:v>
                </c:pt>
                <c:pt idx="25">
                  <c:v>98.070000</c:v>
                </c:pt>
                <c:pt idx="26">
                  <c:v>103.839996</c:v>
                </c:pt>
                <c:pt idx="27">
                  <c:v>112.769997</c:v>
                </c:pt>
                <c:pt idx="28">
                  <c:v>109.750000</c:v>
                </c:pt>
                <c:pt idx="29">
                  <c:v>114.459999</c:v>
                </c:pt>
                <c:pt idx="30">
                  <c:v>110.400002</c:v>
                </c:pt>
                <c:pt idx="31">
                  <c:v>109.050003</c:v>
                </c:pt>
                <c:pt idx="32">
                  <c:v>103.589996</c:v>
                </c:pt>
                <c:pt idx="33">
                  <c:v>104.099998</c:v>
                </c:pt>
                <c:pt idx="34">
                  <c:v>108.010002</c:v>
                </c:pt>
                <c:pt idx="35">
                  <c:v>108.169998</c:v>
                </c:pt>
                <c:pt idx="36">
                  <c:v>113.889999</c:v>
                </c:pt>
                <c:pt idx="37">
                  <c:v>107.989998</c:v>
                </c:pt>
                <c:pt idx="38">
                  <c:v>95.739998</c:v>
                </c:pt>
                <c:pt idx="39">
                  <c:v>123.000000</c:v>
                </c:pt>
                <c:pt idx="40">
                  <c:v>155.009995</c:v>
                </c:pt>
                <c:pt idx="41">
                  <c:v>174.229996</c:v>
                </c:pt>
                <c:pt idx="42">
                  <c:v>196.070007</c:v>
                </c:pt>
                <c:pt idx="43">
                  <c:v>204.139999</c:v>
                </c:pt>
                <c:pt idx="44">
                  <c:v>197.029999</c:v>
                </c:pt>
                <c:pt idx="45">
                  <c:v>186.130005</c:v>
                </c:pt>
                <c:pt idx="46">
                  <c:v>214.119995</c:v>
                </c:pt>
                <c:pt idx="47">
                  <c:v>234.199997</c:v>
                </c:pt>
                <c:pt idx="48">
                  <c:v>234.309998</c:v>
                </c:pt>
                <c:pt idx="49">
                  <c:v>269.440002</c:v>
                </c:pt>
              </c:numCache>
            </c:numRef>
          </c:val>
          <c:smooth val="0"/>
        </c:ser>
        <c:ser>
          <c:idx val="1"/>
          <c:order val="1"/>
          <c:tx>
            <c:strRef>
              <c:f>'Share price - MCD'!$D$2</c:f>
              <c:strCache>
                <c:ptCount val="1"/>
                <c:pt idx="0">
                  <c:v>Target</c:v>
                </c:pt>
              </c:strCache>
            </c:strRef>
          </c:tx>
          <c:spPr>
            <a:solidFill>
              <a:srgbClr val="FFFFFF"/>
            </a:solidFill>
            <a:ln w="50800" cap="flat">
              <a:solidFill>
                <a:schemeClr val="accent3"/>
              </a:solidFill>
              <a:prstDash val="solid"/>
              <a:miter lim="400000"/>
            </a:ln>
            <a:effectLst/>
          </c:spPr>
          <c:marker>
            <c:symbol val="circle"/>
            <c:size val="4"/>
            <c:spPr>
              <a:solidFill>
                <a:srgbClr val="FFFFFF"/>
              </a:solidFill>
              <a:ln w="50800" cap="flat">
                <a:solidFill>
                  <a:schemeClr val="accent3"/>
                </a:solidFill>
                <a:prstDash val="solid"/>
                <a:miter lim="400000"/>
              </a:ln>
              <a:effectLst/>
            </c:spPr>
          </c:marker>
          <c:dLbls>
            <c:numFmt formatCode="#,##0" sourceLinked="1"/>
            <c:txPr>
              <a:bodyPr/>
              <a:lstStyle/>
              <a:p>
                <a:pPr>
                  <a:defRPr b="0" i="0" strike="noStrike" sz="1200" u="none">
                    <a:solidFill>
                      <a:srgbClr val="000000"/>
                    </a:solidFill>
                    <a:latin typeface="Helvetica Neue"/>
                  </a:defRPr>
                </a:pPr>
              </a:p>
            </c:txPr>
            <c:dLblPos val="b"/>
            <c:showLegendKey val="0"/>
            <c:showVal val="0"/>
            <c:showCatName val="0"/>
            <c:showSerName val="0"/>
            <c:showPercent val="0"/>
            <c:showBubbleSize val="0"/>
            <c:showLeaderLines val="0"/>
          </c:dLbls>
          <c:cat>
            <c:strRef>
              <c:f>'Share price - MCD'!$A$3:$A$52</c:f>
              <c:strCache>
                <c:ptCount val="50"/>
                <c:pt idx="0">
                  <c:v>2017</c:v>
                </c:pt>
                <c:pt idx="1">
                  <c:v/>
                </c:pt>
                <c:pt idx="2">
                  <c:v/>
                </c:pt>
                <c:pt idx="3">
                  <c:v/>
                </c:pt>
                <c:pt idx="4">
                  <c:v/>
                </c:pt>
                <c:pt idx="5">
                  <c:v/>
                </c:pt>
                <c:pt idx="6">
                  <c:v/>
                </c:pt>
                <c:pt idx="7">
                  <c:v/>
                </c:pt>
                <c:pt idx="8">
                  <c:v/>
                </c:pt>
                <c:pt idx="9">
                  <c:v/>
                </c:pt>
                <c:pt idx="10">
                  <c:v/>
                </c:pt>
                <c:pt idx="11">
                  <c:v/>
                </c:pt>
                <c:pt idx="12">
                  <c:v>2018</c:v>
                </c:pt>
                <c:pt idx="13">
                  <c:v/>
                </c:pt>
                <c:pt idx="14">
                  <c:v/>
                </c:pt>
                <c:pt idx="15">
                  <c:v/>
                </c:pt>
                <c:pt idx="16">
                  <c:v/>
                </c:pt>
                <c:pt idx="17">
                  <c:v/>
                </c:pt>
                <c:pt idx="18">
                  <c:v/>
                </c:pt>
                <c:pt idx="19">
                  <c:v/>
                </c:pt>
                <c:pt idx="20">
                  <c:v/>
                </c:pt>
                <c:pt idx="21">
                  <c:v/>
                </c:pt>
                <c:pt idx="22">
                  <c:v/>
                </c:pt>
                <c:pt idx="23">
                  <c:v/>
                </c:pt>
                <c:pt idx="24">
                  <c:v>2019</c:v>
                </c:pt>
                <c:pt idx="25">
                  <c:v/>
                </c:pt>
                <c:pt idx="26">
                  <c:v/>
                </c:pt>
                <c:pt idx="27">
                  <c:v/>
                </c:pt>
                <c:pt idx="28">
                  <c:v/>
                </c:pt>
                <c:pt idx="29">
                  <c:v/>
                </c:pt>
                <c:pt idx="30">
                  <c:v/>
                </c:pt>
                <c:pt idx="31">
                  <c:v/>
                </c:pt>
                <c:pt idx="32">
                  <c:v/>
                </c:pt>
                <c:pt idx="33">
                  <c:v/>
                </c:pt>
                <c:pt idx="34">
                  <c:v/>
                </c:pt>
                <c:pt idx="35">
                  <c:v/>
                </c:pt>
                <c:pt idx="36">
                  <c:v>2020</c:v>
                </c:pt>
                <c:pt idx="37">
                  <c:v/>
                </c:pt>
                <c:pt idx="38">
                  <c:v/>
                </c:pt>
                <c:pt idx="39">
                  <c:v/>
                </c:pt>
                <c:pt idx="40">
                  <c:v/>
                </c:pt>
                <c:pt idx="41">
                  <c:v/>
                </c:pt>
                <c:pt idx="42">
                  <c:v/>
                </c:pt>
                <c:pt idx="43">
                  <c:v/>
                </c:pt>
                <c:pt idx="44">
                  <c:v/>
                </c:pt>
                <c:pt idx="45">
                  <c:v/>
                </c:pt>
                <c:pt idx="46">
                  <c:v/>
                </c:pt>
                <c:pt idx="47">
                  <c:v/>
                </c:pt>
                <c:pt idx="48">
                  <c:v>2021</c:v>
                </c:pt>
                <c:pt idx="49">
                  <c:v/>
                </c:pt>
              </c:strCache>
            </c:strRef>
          </c:cat>
          <c:val>
            <c:numRef>
              <c:f>'Share price - MCD'!$D$3:$D$52</c:f>
              <c:numCache>
                <c:ptCount val="0"/>
              </c:numCache>
            </c:numRef>
          </c:val>
          <c:smooth val="0"/>
        </c:ser>
        <c:marker val="1"/>
        <c:axId val="2094734552"/>
        <c:axId val="2094734553"/>
      </c:lineChart>
      <c:catAx>
        <c:axId val="2094734552"/>
        <c:scaling>
          <c:orientation val="minMax"/>
        </c:scaling>
        <c:delete val="0"/>
        <c:axPos val="b"/>
        <c:numFmt formatCode="0" sourceLinked="1"/>
        <c:majorTickMark val="none"/>
        <c:minorTickMark val="none"/>
        <c:tickLblPos val="low"/>
        <c:spPr>
          <a:ln w="12700" cap="flat">
            <a:solidFill>
              <a:srgbClr val="000000"/>
            </a:solidFill>
            <a:prstDash val="solid"/>
            <a:miter lim="400000"/>
          </a:ln>
        </c:spPr>
        <c:txPr>
          <a:bodyPr rot="0"/>
          <a:lstStyle/>
          <a:p>
            <a:pPr>
              <a:defRPr b="0" i="0" strike="noStrike" sz="1000" u="none">
                <a:solidFill>
                  <a:srgbClr val="000000"/>
                </a:solidFill>
                <a:latin typeface="Helvetica Neue"/>
              </a:defRPr>
            </a:pPr>
          </a:p>
        </c:txPr>
        <c:crossAx val="2094734553"/>
        <c:crosses val="autoZero"/>
        <c:auto val="1"/>
        <c:lblAlgn val="ctr"/>
        <c:noMultiLvlLbl val="1"/>
      </c:catAx>
      <c:valAx>
        <c:axId val="2094734553"/>
        <c:scaling>
          <c:orientation val="minMax"/>
        </c:scaling>
        <c:delete val="0"/>
        <c:axPos val="l"/>
        <c:majorGridlines>
          <c:spPr>
            <a:ln w="6350" cap="flat">
              <a:solidFill>
                <a:srgbClr val="B8B8B8"/>
              </a:solidFill>
              <a:prstDash val="solid"/>
              <a:miter lim="400000"/>
            </a:ln>
          </c:spPr>
        </c:majorGridlines>
        <c:numFmt formatCode="0" sourceLinked="1"/>
        <c:majorTickMark val="none"/>
        <c:minorTickMark val="none"/>
        <c:tickLblPos val="nextTo"/>
        <c:spPr>
          <a:ln w="12700" cap="flat">
            <a:noFill/>
            <a:prstDash val="solid"/>
            <a:miter lim="400000"/>
          </a:ln>
        </c:spPr>
        <c:txPr>
          <a:bodyPr rot="0"/>
          <a:lstStyle/>
          <a:p>
            <a:pPr>
              <a:defRPr b="0" i="0" strike="noStrike" sz="1000" u="none">
                <a:solidFill>
                  <a:srgbClr val="000000"/>
                </a:solidFill>
                <a:latin typeface="Helvetica Neue"/>
              </a:defRPr>
            </a:pPr>
          </a:p>
        </c:txPr>
        <c:crossAx val="2094734552"/>
        <c:crosses val="autoZero"/>
        <c:crossBetween val="midCat"/>
        <c:majorUnit val="75"/>
        <c:minorUnit val="37.5"/>
      </c:valAx>
      <c:spPr>
        <a:noFill/>
        <a:ln w="12700" cap="flat">
          <a:noFill/>
          <a:miter lim="400000"/>
        </a:ln>
        <a:effectLst/>
      </c:spPr>
    </c:plotArea>
    <c:legend>
      <c:legendPos val="r"/>
      <c:layout>
        <c:manualLayout>
          <c:xMode val="edge"/>
          <c:yMode val="edge"/>
          <c:x val="0.377772"/>
          <c:y val="0.0909239"/>
          <c:w val="0.318628"/>
          <c:h val="0.110356"/>
        </c:manualLayout>
      </c:layout>
      <c:overlay val="1"/>
      <c:spPr>
        <a:noFill/>
        <a:ln w="12700" cap="flat">
          <a:noFill/>
          <a:miter lim="400000"/>
        </a:ln>
        <a:effectLst/>
      </c:spPr>
      <c:txPr>
        <a:bodyPr rot="0"/>
        <a:lstStyle/>
        <a:p>
          <a:pPr>
            <a:defRPr b="0" i="0" strike="noStrike" sz="1000" u="none">
              <a:solidFill>
                <a:srgbClr val="000000"/>
              </a:solidFill>
              <a:latin typeface="Helvetica Neue"/>
            </a:defRPr>
          </a:pPr>
        </a:p>
      </c:txPr>
    </c:legend>
    <c:plotVisOnly val="1"/>
    <c:dispBlanksAs val="gap"/>
  </c:chart>
  <c:spPr>
    <a:noFill/>
    <a:ln>
      <a:noFill/>
    </a:ln>
    <a:effectLst/>
  </c:spPr>
</c:chartSpace>
</file>

<file path=xl/charts/chart4.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153378"/>
          <c:y val="0.0426778"/>
          <c:w val="0.841622"/>
          <c:h val="0.886395"/>
        </c:manualLayout>
      </c:layout>
      <c:barChart>
        <c:barDir val="col"/>
        <c:grouping val="clustered"/>
        <c:varyColors val="0"/>
        <c:ser>
          <c:idx val="0"/>
          <c:order val="0"/>
          <c:tx>
            <c:strRef>
              <c:f>'Cashflow  - Quarterly Cashflow'!$L$3</c:f>
              <c:strCache>
                <c:ptCount val="1"/>
                <c:pt idx="0">
                  <c:v>Cash paid (raised)</c:v>
                </c:pt>
              </c:strCache>
            </c:strRef>
          </c:tx>
          <c:spPr>
            <a:solidFill>
              <a:schemeClr val="accent1"/>
            </a:solidFill>
            <a:ln w="12700" cap="flat">
              <a:noFill/>
              <a:miter lim="400000"/>
            </a:ln>
            <a:effectLst/>
          </c:spPr>
          <c:invertIfNegative val="0"/>
          <c:dLbls>
            <c:numFmt formatCode="#,##0" sourceLinked="1"/>
            <c:txPr>
              <a:bodyPr/>
              <a:lstStyle/>
              <a:p>
                <a:pPr>
                  <a:defRPr b="0" i="0" strike="noStrike" sz="1200" u="none">
                    <a:solidFill>
                      <a:srgbClr val="FFFFFF"/>
                    </a:solidFill>
                    <a:latin typeface="Helvetica Neue"/>
                  </a:defRPr>
                </a:pPr>
              </a:p>
            </c:txPr>
            <c:dLblPos val="inEnd"/>
            <c:showLegendKey val="0"/>
            <c:showVal val="0"/>
            <c:showCatName val="0"/>
            <c:showSerName val="0"/>
            <c:showPercent val="0"/>
            <c:showBubbleSize val="0"/>
            <c:showLeaderLines val="0"/>
          </c:dLbls>
          <c:cat>
            <c:strRef>
              <c:f>'Cashflow  - Quarterly Cashflow'!$B$4:$B$20</c:f>
              <c:strCache>
                <c:ptCount val="17"/>
                <c:pt idx="0">
                  <c:v>2017</c:v>
                </c:pt>
                <c:pt idx="1">
                  <c:v/>
                </c:pt>
                <c:pt idx="2">
                  <c:v/>
                </c:pt>
                <c:pt idx="3">
                  <c:v/>
                </c:pt>
                <c:pt idx="4">
                  <c:v>2018</c:v>
                </c:pt>
                <c:pt idx="5">
                  <c:v/>
                </c:pt>
                <c:pt idx="6">
                  <c:v/>
                </c:pt>
                <c:pt idx="7">
                  <c:v/>
                </c:pt>
                <c:pt idx="8">
                  <c:v>2019</c:v>
                </c:pt>
                <c:pt idx="9">
                  <c:v/>
                </c:pt>
                <c:pt idx="10">
                  <c:v/>
                </c:pt>
                <c:pt idx="11">
                  <c:v/>
                </c:pt>
                <c:pt idx="12">
                  <c:v>2020</c:v>
                </c:pt>
                <c:pt idx="13">
                  <c:v/>
                </c:pt>
                <c:pt idx="14">
                  <c:v/>
                </c:pt>
                <c:pt idx="15">
                  <c:v/>
                </c:pt>
                <c:pt idx="16">
                  <c:v/>
                </c:pt>
              </c:strCache>
            </c:strRef>
          </c:cat>
          <c:val>
            <c:numRef>
              <c:f>'Cashflow  - Quarterly Cashflow'!$L$4:$L$20</c:f>
              <c:numCache>
                <c:ptCount val="17"/>
                <c:pt idx="0">
                  <c:v>54.000000</c:v>
                </c:pt>
                <c:pt idx="1">
                  <c:v>-988.000000</c:v>
                </c:pt>
                <c:pt idx="2">
                  <c:v>-2427.000000</c:v>
                </c:pt>
                <c:pt idx="3">
                  <c:v>-4084.000000</c:v>
                </c:pt>
                <c:pt idx="4">
                  <c:v>-4877.000000</c:v>
                </c:pt>
                <c:pt idx="5">
                  <c:v>-3542.000000</c:v>
                </c:pt>
                <c:pt idx="6">
                  <c:v>-4591.000000</c:v>
                </c:pt>
                <c:pt idx="7">
                  <c:v>-2822.000000</c:v>
                </c:pt>
                <c:pt idx="8">
                  <c:v>-4324.000000</c:v>
                </c:pt>
                <c:pt idx="9">
                  <c:v>-5320.000000</c:v>
                </c:pt>
                <c:pt idx="10">
                  <c:v>-6659.000000</c:v>
                </c:pt>
                <c:pt idx="11">
                  <c:v>-6510.000000</c:v>
                </c:pt>
                <c:pt idx="12">
                  <c:v>-8751.000000</c:v>
                </c:pt>
                <c:pt idx="13">
                  <c:v>-15029.000000</c:v>
                </c:pt>
                <c:pt idx="14">
                  <c:v>-16522.000000</c:v>
                </c:pt>
                <c:pt idx="15">
                  <c:v>-18884.000000</c:v>
                </c:pt>
                <c:pt idx="16">
                  <c:v>-11812.838626</c:v>
                </c:pt>
              </c:numCache>
            </c:numRef>
          </c:val>
        </c:ser>
        <c:gapWidth val="40"/>
        <c:overlap val="-10"/>
        <c:axId val="2094734552"/>
        <c:axId val="2094734553"/>
      </c:barChart>
      <c:catAx>
        <c:axId val="2094734552"/>
        <c:scaling>
          <c:orientation val="minMax"/>
        </c:scaling>
        <c:delete val="0"/>
        <c:axPos val="b"/>
        <c:numFmt formatCode="#,##0_);[Red]\(#,##0\)" sourceLinked="1"/>
        <c:majorTickMark val="none"/>
        <c:minorTickMark val="none"/>
        <c:tickLblPos val="low"/>
        <c:spPr>
          <a:ln w="12700" cap="flat">
            <a:solidFill>
              <a:srgbClr val="000000"/>
            </a:solidFill>
            <a:prstDash val="solid"/>
            <a:miter lim="400000"/>
          </a:ln>
        </c:spPr>
        <c:txPr>
          <a:bodyPr rot="0"/>
          <a:lstStyle/>
          <a:p>
            <a:pPr>
              <a:defRPr b="0" i="0" strike="noStrike" sz="1000" u="none">
                <a:solidFill>
                  <a:srgbClr val="000000"/>
                </a:solidFill>
                <a:latin typeface="Helvetica Neue"/>
              </a:defRPr>
            </a:pPr>
          </a:p>
        </c:txPr>
        <c:crossAx val="2094734553"/>
        <c:crosses val="autoZero"/>
        <c:auto val="1"/>
        <c:lblAlgn val="ctr"/>
        <c:noMultiLvlLbl val="1"/>
      </c:catAx>
      <c:valAx>
        <c:axId val="2094734553"/>
        <c:scaling>
          <c:orientation val="minMax"/>
          <c:min val="-19000"/>
        </c:scaling>
        <c:delete val="0"/>
        <c:axPos val="l"/>
        <c:majorGridlines>
          <c:spPr>
            <a:ln w="6350" cap="flat">
              <a:solidFill>
                <a:srgbClr val="B8B8B8"/>
              </a:solidFill>
              <a:prstDash val="solid"/>
              <a:miter lim="400000"/>
            </a:ln>
          </c:spPr>
        </c:majorGridlines>
        <c:numFmt formatCode="#,##0_);[Red]\(#,##0\)" sourceLinked="1"/>
        <c:majorTickMark val="none"/>
        <c:minorTickMark val="none"/>
        <c:tickLblPos val="nextTo"/>
        <c:spPr>
          <a:ln w="12700" cap="flat">
            <a:noFill/>
            <a:prstDash val="solid"/>
            <a:miter lim="400000"/>
          </a:ln>
        </c:spPr>
        <c:txPr>
          <a:bodyPr rot="0"/>
          <a:lstStyle/>
          <a:p>
            <a:pPr>
              <a:defRPr b="0" i="0" strike="noStrike" sz="1000" u="none">
                <a:solidFill>
                  <a:srgbClr val="000000"/>
                </a:solidFill>
                <a:latin typeface="Helvetica Neue"/>
              </a:defRPr>
            </a:pPr>
          </a:p>
        </c:txPr>
        <c:crossAx val="2094734552"/>
        <c:crosses val="min"/>
        <c:crossBetween val="between"/>
        <c:majorUnit val="4765"/>
        <c:minorUnit val="2382.5"/>
      </c:valAx>
      <c:spPr>
        <a:noFill/>
        <a:ln w="12700" cap="flat">
          <a:noFill/>
          <a:miter lim="400000"/>
        </a:ln>
        <a:effectLst/>
      </c:spPr>
    </c:plotArea>
    <c:legend>
      <c:legendPos val="r"/>
      <c:layout>
        <c:manualLayout>
          <c:xMode val="edge"/>
          <c:yMode val="edge"/>
          <c:x val="0.276597"/>
          <c:y val="0.350776"/>
          <c:w val="0.351334"/>
          <c:h val="0.0676778"/>
        </c:manualLayout>
      </c:layout>
      <c:overlay val="1"/>
      <c:spPr>
        <a:noFill/>
        <a:ln w="12700" cap="flat">
          <a:noFill/>
          <a:miter lim="400000"/>
        </a:ln>
        <a:effectLst/>
      </c:spPr>
      <c:txPr>
        <a:bodyPr rot="0"/>
        <a:lstStyle/>
        <a:p>
          <a:pPr>
            <a:defRPr b="0" i="0" strike="noStrike" sz="1000" u="none">
              <a:solidFill>
                <a:srgbClr val="000000"/>
              </a:solidFill>
              <a:latin typeface="Helvetica Neue"/>
            </a:defRPr>
          </a:pPr>
        </a:p>
      </c:txPr>
    </c:legend>
    <c:plotVisOnly val="1"/>
    <c:dispBlanksAs val="gap"/>
  </c:chart>
  <c:spPr>
    <a:noFill/>
    <a:ln>
      <a:noFill/>
    </a:ln>
    <a:effectLst/>
  </c:spPr>
</c:chartSpace>
</file>

<file path=xl/charts/chart5.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15465"/>
          <c:y val="0.0426778"/>
          <c:w val="0.83755"/>
          <c:h val="0.886395"/>
        </c:manualLayout>
      </c:layout>
      <c:lineChart>
        <c:grouping val="standard"/>
        <c:varyColors val="0"/>
        <c:ser>
          <c:idx val="0"/>
          <c:order val="0"/>
          <c:tx>
            <c:strRef>
              <c:f>'Balance sheet - Balance sheet'!$J$3</c:f>
              <c:strCache>
                <c:ptCount val="1"/>
                <c:pt idx="0">
                  <c:v>Net cash </c:v>
                </c:pt>
              </c:strCache>
            </c:strRef>
          </c:tx>
          <c:spPr>
            <a:solidFill>
              <a:srgbClr val="FFFFFF"/>
            </a:solidFill>
            <a:ln w="50800" cap="flat">
              <a:solidFill>
                <a:schemeClr val="accent1"/>
              </a:solidFill>
              <a:prstDash val="solid"/>
              <a:miter lim="400000"/>
            </a:ln>
            <a:effectLst/>
          </c:spPr>
          <c:marker>
            <c:symbol val="circle"/>
            <c:size val="4"/>
            <c:spPr>
              <a:solidFill>
                <a:srgbClr val="FFFFFF"/>
              </a:solidFill>
              <a:ln w="50800" cap="flat">
                <a:solidFill>
                  <a:schemeClr val="accent1"/>
                </a:solidFill>
                <a:prstDash val="solid"/>
                <a:miter lim="400000"/>
              </a:ln>
              <a:effectLst/>
            </c:spPr>
          </c:marker>
          <c:dLbls>
            <c:numFmt formatCode="#,##0" sourceLinked="1"/>
            <c:txPr>
              <a:bodyPr/>
              <a:lstStyle/>
              <a:p>
                <a:pPr>
                  <a:defRPr b="0" i="0" strike="noStrike" sz="1200" u="none">
                    <a:solidFill>
                      <a:srgbClr val="000000"/>
                    </a:solidFill>
                    <a:latin typeface="Helvetica Neue"/>
                  </a:defRPr>
                </a:pPr>
              </a:p>
            </c:txPr>
            <c:dLblPos val="b"/>
            <c:showLegendKey val="0"/>
            <c:showVal val="0"/>
            <c:showCatName val="0"/>
            <c:showSerName val="0"/>
            <c:showPercent val="0"/>
            <c:showBubbleSize val="0"/>
            <c:showLeaderLines val="0"/>
          </c:dLbls>
          <c:cat>
            <c:strRef>
              <c:f>'Balance sheet - Balance sheet'!$B$4:$B$20</c:f>
              <c:strCache>
                <c:ptCount val="17"/>
                <c:pt idx="0">
                  <c:v>2017</c:v>
                </c:pt>
                <c:pt idx="1">
                  <c:v/>
                </c:pt>
                <c:pt idx="2">
                  <c:v/>
                </c:pt>
                <c:pt idx="3">
                  <c:v/>
                </c:pt>
                <c:pt idx="4">
                  <c:v>2018</c:v>
                </c:pt>
                <c:pt idx="5">
                  <c:v/>
                </c:pt>
                <c:pt idx="6">
                  <c:v/>
                </c:pt>
                <c:pt idx="7">
                  <c:v/>
                </c:pt>
                <c:pt idx="8">
                  <c:v>2019</c:v>
                </c:pt>
                <c:pt idx="9">
                  <c:v/>
                </c:pt>
                <c:pt idx="10">
                  <c:v/>
                </c:pt>
                <c:pt idx="11">
                  <c:v/>
                </c:pt>
                <c:pt idx="12">
                  <c:v>2020</c:v>
                </c:pt>
                <c:pt idx="13">
                  <c:v/>
                </c:pt>
                <c:pt idx="14">
                  <c:v/>
                </c:pt>
                <c:pt idx="15">
                  <c:v/>
                </c:pt>
                <c:pt idx="16">
                  <c:v/>
                </c:pt>
              </c:strCache>
            </c:strRef>
          </c:cat>
          <c:val>
            <c:numRef>
              <c:f>'Balance sheet - Balance sheet'!$J$4:$J$20</c:f>
              <c:numCache>
                <c:ptCount val="13"/>
                <c:pt idx="3">
                  <c:v>-21897.000000</c:v>
                </c:pt>
                <c:pt idx="4">
                  <c:v>-24802.000000</c:v>
                </c:pt>
                <c:pt idx="5">
                  <c:v>-23818.000000</c:v>
                </c:pt>
                <c:pt idx="6">
                  <c:v>-20462.000000</c:v>
                </c:pt>
                <c:pt idx="7">
                  <c:v>-20371.000000</c:v>
                </c:pt>
                <c:pt idx="8">
                  <c:v>-26608.000000</c:v>
                </c:pt>
                <c:pt idx="9">
                  <c:v>-27343.000000</c:v>
                </c:pt>
                <c:pt idx="10">
                  <c:v>-26863.000000</c:v>
                </c:pt>
                <c:pt idx="11">
                  <c:v>-27055.000000</c:v>
                </c:pt>
                <c:pt idx="12">
                  <c:v>-30401.000000</c:v>
                </c:pt>
                <c:pt idx="13">
                  <c:v>-39129.000000</c:v>
                </c:pt>
                <c:pt idx="14">
                  <c:v>-40943.000000</c:v>
                </c:pt>
                <c:pt idx="15">
                  <c:v>-45522.000000</c:v>
                </c:pt>
              </c:numCache>
            </c:numRef>
          </c:val>
          <c:smooth val="0"/>
        </c:ser>
        <c:ser>
          <c:idx val="1"/>
          <c:order val="1"/>
          <c:tx>
            <c:strRef>
              <c:f>'Balance sheet - Balance sheet'!$K$3</c:f>
              <c:strCache>
                <c:ptCount val="1"/>
                <c:pt idx="0">
                  <c:v>Forecast </c:v>
                </c:pt>
              </c:strCache>
            </c:strRef>
          </c:tx>
          <c:spPr>
            <a:solidFill>
              <a:srgbClr val="FFFFFF"/>
            </a:solidFill>
            <a:ln w="50800" cap="flat">
              <a:solidFill>
                <a:schemeClr val="accent3"/>
              </a:solidFill>
              <a:prstDash val="solid"/>
              <a:miter lim="400000"/>
            </a:ln>
            <a:effectLst/>
          </c:spPr>
          <c:marker>
            <c:symbol val="circle"/>
            <c:size val="4"/>
            <c:spPr>
              <a:solidFill>
                <a:srgbClr val="FFFFFF"/>
              </a:solidFill>
              <a:ln w="50800" cap="flat">
                <a:solidFill>
                  <a:schemeClr val="accent3"/>
                </a:solidFill>
                <a:prstDash val="solid"/>
                <a:miter lim="400000"/>
              </a:ln>
              <a:effectLst/>
            </c:spPr>
          </c:marker>
          <c:dLbls>
            <c:numFmt formatCode="#,##0" sourceLinked="1"/>
            <c:txPr>
              <a:bodyPr/>
              <a:lstStyle/>
              <a:p>
                <a:pPr>
                  <a:defRPr b="0" i="0" strike="noStrike" sz="1200" u="none">
                    <a:solidFill>
                      <a:srgbClr val="000000"/>
                    </a:solidFill>
                    <a:latin typeface="Helvetica Neue"/>
                  </a:defRPr>
                </a:pPr>
              </a:p>
            </c:txPr>
            <c:dLblPos val="b"/>
            <c:showLegendKey val="0"/>
            <c:showVal val="0"/>
            <c:showCatName val="0"/>
            <c:showSerName val="0"/>
            <c:showPercent val="0"/>
            <c:showBubbleSize val="0"/>
            <c:showLeaderLines val="0"/>
          </c:dLbls>
          <c:cat>
            <c:strRef>
              <c:f>'Balance sheet - Balance sheet'!$B$4:$B$20</c:f>
              <c:strCache>
                <c:ptCount val="17"/>
                <c:pt idx="0">
                  <c:v>2017</c:v>
                </c:pt>
                <c:pt idx="1">
                  <c:v/>
                </c:pt>
                <c:pt idx="2">
                  <c:v/>
                </c:pt>
                <c:pt idx="3">
                  <c:v/>
                </c:pt>
                <c:pt idx="4">
                  <c:v>2018</c:v>
                </c:pt>
                <c:pt idx="5">
                  <c:v/>
                </c:pt>
                <c:pt idx="6">
                  <c:v/>
                </c:pt>
                <c:pt idx="7">
                  <c:v/>
                </c:pt>
                <c:pt idx="8">
                  <c:v>2019</c:v>
                </c:pt>
                <c:pt idx="9">
                  <c:v/>
                </c:pt>
                <c:pt idx="10">
                  <c:v/>
                </c:pt>
                <c:pt idx="11">
                  <c:v/>
                </c:pt>
                <c:pt idx="12">
                  <c:v>2020</c:v>
                </c:pt>
                <c:pt idx="13">
                  <c:v/>
                </c:pt>
                <c:pt idx="14">
                  <c:v/>
                </c:pt>
                <c:pt idx="15">
                  <c:v/>
                </c:pt>
                <c:pt idx="16">
                  <c:v/>
                </c:pt>
              </c:strCache>
            </c:strRef>
          </c:cat>
          <c:val>
            <c:numRef>
              <c:f>'Balance sheet - Balance sheet'!$K$4:$K$20</c:f>
              <c:numCache>
                <c:ptCount val="2"/>
                <c:pt idx="15">
                  <c:v>-45522.000000</c:v>
                </c:pt>
                <c:pt idx="16">
                  <c:v>-41143.303175</c:v>
                </c:pt>
              </c:numCache>
            </c:numRef>
          </c:val>
          <c:smooth val="0"/>
        </c:ser>
        <c:marker val="1"/>
        <c:axId val="2094734552"/>
        <c:axId val="2094734553"/>
      </c:lineChart>
      <c:catAx>
        <c:axId val="2094734552"/>
        <c:scaling>
          <c:orientation val="minMax"/>
        </c:scaling>
        <c:delete val="0"/>
        <c:axPos val="b"/>
        <c:numFmt formatCode="#,##0_);[Red]\(#,##0\)" sourceLinked="1"/>
        <c:majorTickMark val="none"/>
        <c:minorTickMark val="none"/>
        <c:tickLblPos val="low"/>
        <c:spPr>
          <a:ln w="12700" cap="flat">
            <a:solidFill>
              <a:srgbClr val="000000"/>
            </a:solidFill>
            <a:prstDash val="solid"/>
            <a:miter lim="400000"/>
          </a:ln>
        </c:spPr>
        <c:txPr>
          <a:bodyPr rot="0"/>
          <a:lstStyle/>
          <a:p>
            <a:pPr>
              <a:defRPr b="0" i="0" strike="noStrike" sz="1000" u="none">
                <a:solidFill>
                  <a:srgbClr val="000000"/>
                </a:solidFill>
                <a:latin typeface="Helvetica Neue"/>
              </a:defRPr>
            </a:pPr>
          </a:p>
        </c:txPr>
        <c:crossAx val="2094734553"/>
        <c:crosses val="autoZero"/>
        <c:auto val="1"/>
        <c:lblAlgn val="ctr"/>
        <c:noMultiLvlLbl val="1"/>
      </c:catAx>
      <c:valAx>
        <c:axId val="2094734553"/>
        <c:scaling>
          <c:orientation val="minMax"/>
        </c:scaling>
        <c:delete val="0"/>
        <c:axPos val="l"/>
        <c:majorGridlines>
          <c:spPr>
            <a:ln w="6350" cap="flat">
              <a:solidFill>
                <a:srgbClr val="B8B8B8"/>
              </a:solidFill>
              <a:prstDash val="solid"/>
              <a:miter lim="400000"/>
            </a:ln>
          </c:spPr>
        </c:majorGridlines>
        <c:numFmt formatCode="#,##0_);[Red]\(#,##0\)" sourceLinked="1"/>
        <c:majorTickMark val="none"/>
        <c:minorTickMark val="none"/>
        <c:tickLblPos val="nextTo"/>
        <c:spPr>
          <a:ln w="12700" cap="flat">
            <a:noFill/>
            <a:prstDash val="solid"/>
            <a:miter lim="400000"/>
          </a:ln>
        </c:spPr>
        <c:txPr>
          <a:bodyPr rot="0"/>
          <a:lstStyle/>
          <a:p>
            <a:pPr>
              <a:defRPr b="0" i="0" strike="noStrike" sz="1000" u="none">
                <a:solidFill>
                  <a:srgbClr val="000000"/>
                </a:solidFill>
                <a:latin typeface="Helvetica Neue"/>
              </a:defRPr>
            </a:pPr>
          </a:p>
        </c:txPr>
        <c:crossAx val="2094734552"/>
        <c:crosses val="autoZero"/>
        <c:crossBetween val="midCat"/>
        <c:majorUnit val="12500"/>
        <c:minorUnit val="6250"/>
      </c:valAx>
      <c:spPr>
        <a:noFill/>
        <a:ln w="12700" cap="flat">
          <a:noFill/>
          <a:miter lim="400000"/>
        </a:ln>
        <a:effectLst/>
      </c:spPr>
    </c:plotArea>
    <c:legend>
      <c:legendPos val="r"/>
      <c:layout>
        <c:manualLayout>
          <c:xMode val="edge"/>
          <c:yMode val="edge"/>
          <c:x val="0.722741"/>
          <c:y val="0.0840217"/>
          <c:w val="0.230748"/>
          <c:h val="0.110356"/>
        </c:manualLayout>
      </c:layout>
      <c:overlay val="1"/>
      <c:spPr>
        <a:noFill/>
        <a:ln w="12700" cap="flat">
          <a:noFill/>
          <a:miter lim="400000"/>
        </a:ln>
        <a:effectLst/>
      </c:spPr>
      <c:txPr>
        <a:bodyPr rot="0"/>
        <a:lstStyle/>
        <a:p>
          <a:pPr>
            <a:defRPr b="0" i="0" strike="noStrike" sz="1000" u="none">
              <a:solidFill>
                <a:srgbClr val="000000"/>
              </a:solidFill>
              <a:latin typeface="Helvetica Neue"/>
            </a:defRPr>
          </a:pPr>
        </a:p>
      </c:txPr>
    </c:legend>
    <c:plotVisOnly val="1"/>
    <c:dispBlanksAs val="gap"/>
  </c:chart>
  <c:spPr>
    <a:noFill/>
    <a:ln>
      <a:noFill/>
    </a:ln>
    <a:effectLst/>
  </c:spPr>
</c:chartSpace>
</file>

<file path=xl/charts/chart6.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137258"/>
          <c:y val="0.0426778"/>
          <c:w val="0.826232"/>
          <c:h val="0.886395"/>
        </c:manualLayout>
      </c:layout>
      <c:lineChart>
        <c:grouping val="standard"/>
        <c:varyColors val="0"/>
        <c:ser>
          <c:idx val="0"/>
          <c:order val="0"/>
          <c:tx>
            <c:strRef>
              <c:f>'Sales - Quarterly sales'!$F$3</c:f>
              <c:strCache>
                <c:ptCount val="1"/>
                <c:pt idx="0">
                  <c:v>Cash cost ratio </c:v>
                </c:pt>
              </c:strCache>
            </c:strRef>
          </c:tx>
          <c:spPr>
            <a:solidFill>
              <a:srgbClr val="FFFFFF"/>
            </a:solidFill>
            <a:ln w="50800" cap="flat">
              <a:solidFill>
                <a:schemeClr val="accent1"/>
              </a:solidFill>
              <a:prstDash val="solid"/>
              <a:miter lim="400000"/>
            </a:ln>
            <a:effectLst/>
          </c:spPr>
          <c:marker>
            <c:symbol val="circle"/>
            <c:size val="4"/>
            <c:spPr>
              <a:solidFill>
                <a:srgbClr val="FFFFFF"/>
              </a:solidFill>
              <a:ln w="50800" cap="flat">
                <a:solidFill>
                  <a:schemeClr val="accent1"/>
                </a:solidFill>
                <a:prstDash val="solid"/>
                <a:miter lim="400000"/>
              </a:ln>
              <a:effectLst/>
            </c:spPr>
          </c:marker>
          <c:dLbls>
            <c:numFmt formatCode="#,##0" sourceLinked="1"/>
            <c:txPr>
              <a:bodyPr/>
              <a:lstStyle/>
              <a:p>
                <a:pPr>
                  <a:defRPr b="0" i="0" strike="noStrike" sz="1200" u="none">
                    <a:solidFill>
                      <a:srgbClr val="000000"/>
                    </a:solidFill>
                    <a:latin typeface="Helvetica Neue"/>
                  </a:defRPr>
                </a:pPr>
              </a:p>
            </c:txPr>
            <c:dLblPos val="b"/>
            <c:showLegendKey val="0"/>
            <c:showVal val="0"/>
            <c:showCatName val="0"/>
            <c:showSerName val="0"/>
            <c:showPercent val="0"/>
            <c:showBubbleSize val="0"/>
            <c:showLeaderLines val="0"/>
          </c:dLbls>
          <c:cat>
            <c:strRef>
              <c:f>'Sales - Quarterly sales'!$B$4:$B$20</c:f>
              <c:strCache>
                <c:ptCount val="17"/>
                <c:pt idx="0">
                  <c:v>2017</c:v>
                </c:pt>
                <c:pt idx="1">
                  <c:v/>
                </c:pt>
                <c:pt idx="2">
                  <c:v/>
                </c:pt>
                <c:pt idx="3">
                  <c:v/>
                </c:pt>
                <c:pt idx="4">
                  <c:v>2018</c:v>
                </c:pt>
                <c:pt idx="5">
                  <c:v/>
                </c:pt>
                <c:pt idx="6">
                  <c:v/>
                </c:pt>
                <c:pt idx="7">
                  <c:v/>
                </c:pt>
                <c:pt idx="8">
                  <c:v>2019</c:v>
                </c:pt>
                <c:pt idx="9">
                  <c:v/>
                </c:pt>
                <c:pt idx="10">
                  <c:v/>
                </c:pt>
                <c:pt idx="11">
                  <c:v/>
                </c:pt>
                <c:pt idx="12">
                  <c:v>2020</c:v>
                </c:pt>
                <c:pt idx="13">
                  <c:v/>
                </c:pt>
                <c:pt idx="14">
                  <c:v/>
                </c:pt>
                <c:pt idx="15">
                  <c:v/>
                </c:pt>
                <c:pt idx="16">
                  <c:v>2021</c:v>
                </c:pt>
              </c:strCache>
            </c:strRef>
          </c:cat>
          <c:val>
            <c:numRef>
              <c:f>'Sales - Quarterly sales'!$F$4:$F$20</c:f>
              <c:numCache>
                <c:ptCount val="16"/>
                <c:pt idx="0">
                  <c:v>-0.644034</c:v>
                </c:pt>
                <c:pt idx="1">
                  <c:v>-0.636798</c:v>
                </c:pt>
                <c:pt idx="2">
                  <c:v>-0.679839</c:v>
                </c:pt>
                <c:pt idx="3">
                  <c:v>-1.033198</c:v>
                </c:pt>
                <c:pt idx="4">
                  <c:v>-0.614383</c:v>
                </c:pt>
                <c:pt idx="5">
                  <c:v>-0.657247</c:v>
                </c:pt>
                <c:pt idx="6">
                  <c:v>-0.736356</c:v>
                </c:pt>
                <c:pt idx="7">
                  <c:v>-0.728585</c:v>
                </c:pt>
                <c:pt idx="8">
                  <c:v>-0.676599</c:v>
                </c:pt>
                <c:pt idx="9">
                  <c:v>-0.701045</c:v>
                </c:pt>
                <c:pt idx="10">
                  <c:v>-0.696665</c:v>
                </c:pt>
                <c:pt idx="11">
                  <c:v>-0.758920</c:v>
                </c:pt>
                <c:pt idx="12">
                  <c:v>-0.720442</c:v>
                </c:pt>
                <c:pt idx="13">
                  <c:v>-0.649496</c:v>
                </c:pt>
                <c:pt idx="14">
                  <c:v>-0.671552</c:v>
                </c:pt>
                <c:pt idx="15">
                  <c:v>-0.692937</c:v>
                </c:pt>
              </c:numCache>
            </c:numRef>
          </c:val>
          <c:smooth val="0"/>
        </c:ser>
        <c:ser>
          <c:idx val="1"/>
          <c:order val="1"/>
          <c:tx>
            <c:strRef>
              <c:f>'Sales - Quarterly sales'!$G$3</c:f>
              <c:strCache>
                <c:ptCount val="1"/>
                <c:pt idx="0">
                  <c:v>Forecast </c:v>
                </c:pt>
              </c:strCache>
            </c:strRef>
          </c:tx>
          <c:spPr>
            <a:solidFill>
              <a:srgbClr val="FFFFFF"/>
            </a:solidFill>
            <a:ln w="50800" cap="flat">
              <a:solidFill>
                <a:schemeClr val="accent3"/>
              </a:solidFill>
              <a:prstDash val="solid"/>
              <a:miter lim="400000"/>
            </a:ln>
            <a:effectLst/>
          </c:spPr>
          <c:marker>
            <c:symbol val="circle"/>
            <c:size val="4"/>
            <c:spPr>
              <a:solidFill>
                <a:srgbClr val="FFFFFF"/>
              </a:solidFill>
              <a:ln w="50800" cap="flat">
                <a:solidFill>
                  <a:schemeClr val="accent3"/>
                </a:solidFill>
                <a:prstDash val="solid"/>
                <a:miter lim="400000"/>
              </a:ln>
              <a:effectLst/>
            </c:spPr>
          </c:marker>
          <c:dLbls>
            <c:numFmt formatCode="#,##0" sourceLinked="1"/>
            <c:txPr>
              <a:bodyPr/>
              <a:lstStyle/>
              <a:p>
                <a:pPr>
                  <a:defRPr b="0" i="0" strike="noStrike" sz="1200" u="none">
                    <a:solidFill>
                      <a:srgbClr val="000000"/>
                    </a:solidFill>
                    <a:latin typeface="Helvetica Neue"/>
                  </a:defRPr>
                </a:pPr>
              </a:p>
            </c:txPr>
            <c:dLblPos val="b"/>
            <c:showLegendKey val="0"/>
            <c:showVal val="0"/>
            <c:showCatName val="0"/>
            <c:showSerName val="0"/>
            <c:showPercent val="0"/>
            <c:showBubbleSize val="0"/>
            <c:showLeaderLines val="0"/>
          </c:dLbls>
          <c:cat>
            <c:strRef>
              <c:f>'Sales - Quarterly sales'!$B$4:$B$20</c:f>
              <c:strCache>
                <c:ptCount val="17"/>
                <c:pt idx="0">
                  <c:v>2017</c:v>
                </c:pt>
                <c:pt idx="1">
                  <c:v/>
                </c:pt>
                <c:pt idx="2">
                  <c:v/>
                </c:pt>
                <c:pt idx="3">
                  <c:v/>
                </c:pt>
                <c:pt idx="4">
                  <c:v>2018</c:v>
                </c:pt>
                <c:pt idx="5">
                  <c:v/>
                </c:pt>
                <c:pt idx="6">
                  <c:v/>
                </c:pt>
                <c:pt idx="7">
                  <c:v/>
                </c:pt>
                <c:pt idx="8">
                  <c:v>2019</c:v>
                </c:pt>
                <c:pt idx="9">
                  <c:v/>
                </c:pt>
                <c:pt idx="10">
                  <c:v/>
                </c:pt>
                <c:pt idx="11">
                  <c:v/>
                </c:pt>
                <c:pt idx="12">
                  <c:v>2020</c:v>
                </c:pt>
                <c:pt idx="13">
                  <c:v/>
                </c:pt>
                <c:pt idx="14">
                  <c:v/>
                </c:pt>
                <c:pt idx="15">
                  <c:v/>
                </c:pt>
                <c:pt idx="16">
                  <c:v>2021</c:v>
                </c:pt>
              </c:strCache>
            </c:strRef>
          </c:cat>
          <c:val>
            <c:numRef>
              <c:f>'Sales - Quarterly sales'!$G$4:$G$20</c:f>
              <c:numCache>
                <c:ptCount val="2"/>
                <c:pt idx="15">
                  <c:v>-0.692937</c:v>
                </c:pt>
                <c:pt idx="16">
                  <c:v>-0.692937</c:v>
                </c:pt>
              </c:numCache>
            </c:numRef>
          </c:val>
          <c:smooth val="0"/>
        </c:ser>
        <c:marker val="1"/>
        <c:axId val="2094734552"/>
        <c:axId val="2094734553"/>
      </c:lineChart>
      <c:catAx>
        <c:axId val="2094734552"/>
        <c:scaling>
          <c:orientation val="minMax"/>
        </c:scaling>
        <c:delete val="0"/>
        <c:axPos val="b"/>
        <c:numFmt formatCode="#,##0%_);[Red]\(#,##0%\)" sourceLinked="1"/>
        <c:majorTickMark val="none"/>
        <c:minorTickMark val="none"/>
        <c:tickLblPos val="low"/>
        <c:spPr>
          <a:ln w="12700" cap="flat">
            <a:solidFill>
              <a:srgbClr val="000000"/>
            </a:solidFill>
            <a:prstDash val="solid"/>
            <a:miter lim="400000"/>
          </a:ln>
        </c:spPr>
        <c:txPr>
          <a:bodyPr rot="0"/>
          <a:lstStyle/>
          <a:p>
            <a:pPr>
              <a:defRPr b="0" i="0" strike="noStrike" sz="1000" u="none">
                <a:solidFill>
                  <a:srgbClr val="000000"/>
                </a:solidFill>
                <a:latin typeface="Helvetica Neue"/>
              </a:defRPr>
            </a:pPr>
          </a:p>
        </c:txPr>
        <c:crossAx val="2094734553"/>
        <c:crosses val="autoZero"/>
        <c:auto val="1"/>
        <c:lblAlgn val="ctr"/>
        <c:noMultiLvlLbl val="1"/>
      </c:catAx>
      <c:valAx>
        <c:axId val="2094734553"/>
        <c:scaling>
          <c:orientation val="minMax"/>
          <c:max val="-0.5"/>
        </c:scaling>
        <c:delete val="0"/>
        <c:axPos val="l"/>
        <c:majorGridlines>
          <c:spPr>
            <a:ln w="6350" cap="flat">
              <a:solidFill>
                <a:srgbClr val="B8B8B8"/>
              </a:solidFill>
              <a:prstDash val="solid"/>
              <a:miter lim="400000"/>
            </a:ln>
          </c:spPr>
        </c:majorGridlines>
        <c:numFmt formatCode="#,##0%_);[Red]\(#,##0%\)" sourceLinked="1"/>
        <c:majorTickMark val="none"/>
        <c:minorTickMark val="none"/>
        <c:tickLblPos val="nextTo"/>
        <c:spPr>
          <a:ln w="12700" cap="flat">
            <a:noFill/>
            <a:prstDash val="solid"/>
            <a:miter lim="400000"/>
          </a:ln>
        </c:spPr>
        <c:txPr>
          <a:bodyPr rot="0"/>
          <a:lstStyle/>
          <a:p>
            <a:pPr>
              <a:defRPr b="0" i="0" strike="noStrike" sz="1000" u="none">
                <a:solidFill>
                  <a:srgbClr val="000000"/>
                </a:solidFill>
                <a:latin typeface="Helvetica Neue"/>
              </a:defRPr>
            </a:pPr>
          </a:p>
        </c:txPr>
        <c:crossAx val="2094734552"/>
        <c:crosses val="autoZero"/>
        <c:crossBetween val="midCat"/>
        <c:majorUnit val="0.15"/>
        <c:minorUnit val="0.075"/>
      </c:valAx>
      <c:spPr>
        <a:noFill/>
        <a:ln w="12700" cap="flat">
          <a:noFill/>
          <a:miter lim="400000"/>
        </a:ln>
        <a:effectLst/>
      </c:spPr>
    </c:plotArea>
    <c:legend>
      <c:legendPos val="r"/>
      <c:layout>
        <c:manualLayout>
          <c:xMode val="edge"/>
          <c:yMode val="edge"/>
          <c:x val="0.311873"/>
          <c:y val="0.095955"/>
          <c:w val="0.347284"/>
          <c:h val="0.110356"/>
        </c:manualLayout>
      </c:layout>
      <c:overlay val="1"/>
      <c:spPr>
        <a:noFill/>
        <a:ln w="12700" cap="flat">
          <a:noFill/>
          <a:miter lim="400000"/>
        </a:ln>
        <a:effectLst/>
      </c:spPr>
      <c:txPr>
        <a:bodyPr rot="0"/>
        <a:lstStyle/>
        <a:p>
          <a:pPr>
            <a:defRPr b="0" i="0" strike="noStrike" sz="1000" u="none">
              <a:solidFill>
                <a:srgbClr val="000000"/>
              </a:solidFill>
              <a:latin typeface="Helvetica Neue"/>
            </a:defRPr>
          </a:pPr>
        </a:p>
      </c:txPr>
    </c:legend>
    <c:plotVisOnly val="1"/>
    <c:dispBlanksAs val="gap"/>
  </c:chart>
  <c:spPr>
    <a:noFill/>
    <a:ln>
      <a:noFill/>
    </a:ln>
    <a:effectLst/>
  </c:spPr>
</c:chartSpace>
</file>

<file path=xl/drawings/_rels/drawing1.xml.rels><?xml version="1.0" encoding="UTF-8"?>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6</xdr:col>
      <xdr:colOff>640718</xdr:colOff>
      <xdr:row>16</xdr:row>
      <xdr:rowOff>102259</xdr:rowOff>
    </xdr:from>
    <xdr:to>
      <xdr:col>9</xdr:col>
      <xdr:colOff>751224</xdr:colOff>
      <xdr:row>30</xdr:row>
      <xdr:rowOff>24992</xdr:rowOff>
    </xdr:to>
    <xdr:graphicFrame>
      <xdr:nvGraphicFramePr>
        <xdr:cNvPr id="2" name="Chart 2"/>
        <xdr:cNvGraphicFramePr/>
      </xdr:nvGraphicFramePr>
      <xdr:xfrm>
        <a:off x="4996818" y="4881269"/>
        <a:ext cx="3844307" cy="3487624"/>
      </xdr:xfrm>
      <a:graphic xmlns:a="http://schemas.openxmlformats.org/drawingml/2006/main">
        <a:graphicData uri="http://schemas.openxmlformats.org/drawingml/2006/chart">
          <c:chart xmlns:c="http://schemas.openxmlformats.org/drawingml/2006/chart" r:id="rId1"/>
        </a:graphicData>
      </a:graphic>
    </xdr:graphicFrame>
    <xdr:clientData/>
  </xdr:twoCellAnchor>
  <xdr:twoCellAnchor>
    <xdr:from>
      <xdr:col>6</xdr:col>
      <xdr:colOff>669775</xdr:colOff>
      <xdr:row>2</xdr:row>
      <xdr:rowOff>7597</xdr:rowOff>
    </xdr:from>
    <xdr:to>
      <xdr:col>9</xdr:col>
      <xdr:colOff>722167</xdr:colOff>
      <xdr:row>15</xdr:row>
      <xdr:rowOff>27485</xdr:rowOff>
    </xdr:to>
    <xdr:graphicFrame>
      <xdr:nvGraphicFramePr>
        <xdr:cNvPr id="3" name="Chart 3"/>
        <xdr:cNvGraphicFramePr/>
      </xdr:nvGraphicFramePr>
      <xdr:xfrm>
        <a:off x="5025875" y="1064237"/>
        <a:ext cx="3786193" cy="3487624"/>
      </xdr:xfrm>
      <a:graphic xmlns:a="http://schemas.openxmlformats.org/drawingml/2006/main">
        <a:graphicData uri="http://schemas.openxmlformats.org/drawingml/2006/chart">
          <c:chart xmlns:c="http://schemas.openxmlformats.org/drawingml/2006/chart" r:id="rId2"/>
        </a:graphicData>
      </a:graphic>
    </xdr:graphicFrame>
    <xdr:clientData/>
  </xdr:twoCellAnchor>
  <xdr:twoCellAnchor>
    <xdr:from>
      <xdr:col>6</xdr:col>
      <xdr:colOff>676266</xdr:colOff>
      <xdr:row>32</xdr:row>
      <xdr:rowOff>97760</xdr:rowOff>
    </xdr:from>
    <xdr:to>
      <xdr:col>9</xdr:col>
      <xdr:colOff>763775</xdr:colOff>
      <xdr:row>46</xdr:row>
      <xdr:rowOff>45258</xdr:rowOff>
    </xdr:to>
    <xdr:graphicFrame>
      <xdr:nvGraphicFramePr>
        <xdr:cNvPr id="4" name="Chart 4"/>
        <xdr:cNvGraphicFramePr/>
      </xdr:nvGraphicFramePr>
      <xdr:xfrm>
        <a:off x="5032366" y="8950930"/>
        <a:ext cx="3821310" cy="3487624"/>
      </xdr:xfrm>
      <a:graphic xmlns:a="http://schemas.openxmlformats.org/drawingml/2006/main">
        <a:graphicData uri="http://schemas.openxmlformats.org/drawingml/2006/chart">
          <c:chart xmlns:c="http://schemas.openxmlformats.org/drawingml/2006/chart" r:id="rId3"/>
        </a:graphicData>
      </a:graphic>
    </xdr:graphicFrame>
    <xdr:clientData/>
  </xdr:twoCellAnchor>
  <xdr:twoCellAnchor>
    <xdr:from>
      <xdr:col>10</xdr:col>
      <xdr:colOff>91334</xdr:colOff>
      <xdr:row>32</xdr:row>
      <xdr:rowOff>97760</xdr:rowOff>
    </xdr:from>
    <xdr:to>
      <xdr:col>13</xdr:col>
      <xdr:colOff>297655</xdr:colOff>
      <xdr:row>46</xdr:row>
      <xdr:rowOff>45258</xdr:rowOff>
    </xdr:to>
    <xdr:graphicFrame>
      <xdr:nvGraphicFramePr>
        <xdr:cNvPr id="5" name="Chart 5"/>
        <xdr:cNvGraphicFramePr/>
      </xdr:nvGraphicFramePr>
      <xdr:xfrm>
        <a:off x="9425834" y="8950930"/>
        <a:ext cx="3940122" cy="3487624"/>
      </xdr:xfrm>
      <a:graphic xmlns:a="http://schemas.openxmlformats.org/drawingml/2006/main">
        <a:graphicData uri="http://schemas.openxmlformats.org/drawingml/2006/chart">
          <c:chart xmlns:c="http://schemas.openxmlformats.org/drawingml/2006/chart" r:id="rId4"/>
        </a:graphicData>
      </a:graphic>
    </xdr:graphicFrame>
    <xdr:clientData/>
  </xdr:twoCellAnchor>
  <xdr:twoCellAnchor>
    <xdr:from>
      <xdr:col>10</xdr:col>
      <xdr:colOff>160492</xdr:colOff>
      <xdr:row>16</xdr:row>
      <xdr:rowOff>102259</xdr:rowOff>
    </xdr:from>
    <xdr:to>
      <xdr:col>13</xdr:col>
      <xdr:colOff>334415</xdr:colOff>
      <xdr:row>30</xdr:row>
      <xdr:rowOff>24992</xdr:rowOff>
    </xdr:to>
    <xdr:graphicFrame>
      <xdr:nvGraphicFramePr>
        <xdr:cNvPr id="6" name="Chart 6"/>
        <xdr:cNvGraphicFramePr/>
      </xdr:nvGraphicFramePr>
      <xdr:xfrm>
        <a:off x="9494992" y="4881269"/>
        <a:ext cx="3907724" cy="3487624"/>
      </xdr:xfrm>
      <a:graphic xmlns:a="http://schemas.openxmlformats.org/drawingml/2006/main">
        <a:graphicData uri="http://schemas.openxmlformats.org/drawingml/2006/chart">
          <c:chart xmlns:c="http://schemas.openxmlformats.org/drawingml/2006/chart" r:id="rId5"/>
        </a:graphicData>
      </a:graphic>
    </xdr:graphicFrame>
    <xdr:clientData/>
  </xdr:twoCellAnchor>
  <xdr:twoCellAnchor>
    <xdr:from>
      <xdr:col>10</xdr:col>
      <xdr:colOff>187202</xdr:colOff>
      <xdr:row>2</xdr:row>
      <xdr:rowOff>7597</xdr:rowOff>
    </xdr:from>
    <xdr:to>
      <xdr:col>13</xdr:col>
      <xdr:colOff>495410</xdr:colOff>
      <xdr:row>15</xdr:row>
      <xdr:rowOff>27485</xdr:rowOff>
    </xdr:to>
    <xdr:graphicFrame>
      <xdr:nvGraphicFramePr>
        <xdr:cNvPr id="7" name="Chart 7"/>
        <xdr:cNvGraphicFramePr/>
      </xdr:nvGraphicFramePr>
      <xdr:xfrm>
        <a:off x="9521702" y="1064237"/>
        <a:ext cx="4042009" cy="3487624"/>
      </xdr:xfrm>
      <a:graphic xmlns:a="http://schemas.openxmlformats.org/drawingml/2006/main">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0000"/>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584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6.xml.rels><?xml version="1.0" encoding="UTF-8"?>
<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6</v>
      </c>
    </row>
    <row r="11">
      <c r="B11" t="s" s="3">
        <v>12</v>
      </c>
      <c r="C11" s="3"/>
      <c r="D11" s="3"/>
    </row>
    <row r="12">
      <c r="B12" s="4"/>
      <c r="C12" t="s" s="4">
        <v>13</v>
      </c>
      <c r="D12" t="s" s="5">
        <v>14</v>
      </c>
    </row>
    <row r="13">
      <c r="B13" t="s" s="3">
        <v>24</v>
      </c>
      <c r="C13" s="3"/>
      <c r="D13" s="3"/>
    </row>
    <row r="14">
      <c r="B14" s="4"/>
      <c r="C14" t="s" s="4">
        <v>24</v>
      </c>
      <c r="D14" t="s" s="5">
        <v>25</v>
      </c>
    </row>
    <row r="15">
      <c r="B15" t="s" s="3">
        <v>33</v>
      </c>
      <c r="C15" s="3"/>
      <c r="D15" s="3"/>
    </row>
    <row r="16">
      <c r="B16" s="4"/>
      <c r="C16" t="s" s="4">
        <v>34</v>
      </c>
      <c r="D16" t="s" s="5">
        <v>35</v>
      </c>
    </row>
    <row r="17">
      <c r="B17" t="s" s="3">
        <v>39</v>
      </c>
      <c r="C17" s="3"/>
      <c r="D17" s="3"/>
    </row>
    <row r="18">
      <c r="B18" s="4"/>
      <c r="C18" t="s" s="4">
        <v>40</v>
      </c>
      <c r="D18" t="s" s="5">
        <v>41</v>
      </c>
    </row>
    <row r="19">
      <c r="B19" t="s" s="3">
        <v>62</v>
      </c>
      <c r="C19" s="3"/>
      <c r="D19" s="3"/>
    </row>
    <row r="20">
      <c r="B20" s="4"/>
      <c r="C20" t="s" s="4">
        <v>63</v>
      </c>
      <c r="D20" t="s" s="5">
        <v>64</v>
      </c>
    </row>
  </sheetData>
  <mergeCells count="1">
    <mergeCell ref="B3:D3"/>
  </mergeCells>
  <hyperlinks>
    <hyperlink ref="D10" location="'Sales - Quarterly sales'!R3C2" tooltip="" display="Sales - Quarterly sales"/>
    <hyperlink ref="D12" location="'Cashflow  - Quarterly Cashflow'!R3C2" tooltip="" display="Cashflow  - Quarterly Cashflow"/>
    <hyperlink ref="D14" location="'Balance sheet - Balance sheet'!R3C2" tooltip="" display="Balance sheet - Balance sheet"/>
    <hyperlink ref="D16" location="'Share price - MCD'!R2C1" tooltip="" display="Share price - MCD"/>
    <hyperlink ref="D18" location="'Model - Financial model'!R3C2" tooltip="" display="Model - Financial model"/>
    <hyperlink ref="D20" location="'Valuation  - Valuation'!R3C2" tooltip="" display="Valuation  - Valuation"/>
  </hyperlinks>
</worksheet>
</file>

<file path=xl/worksheets/sheet2.xml><?xml version="1.0" encoding="utf-8"?>
<worksheet xmlns:r="http://schemas.openxmlformats.org/officeDocument/2006/relationships" xmlns="http://schemas.openxmlformats.org/spreadsheetml/2006/main">
  <dimension ref="B3:G22"/>
  <sheetViews>
    <sheetView workbookViewId="0" showGridLines="0" defaultGridColor="1">
      <pane topLeftCell="C4" xSplit="2" ySplit="3" activePane="bottomRight" state="frozen"/>
    </sheetView>
  </sheetViews>
  <sheetFormatPr defaultColWidth="16.3333" defaultRowHeight="19.9" customHeight="1" outlineLevelRow="0" outlineLevelCol="0"/>
  <cols>
    <col min="1" max="1" width="6.88281" style="6" customWidth="1"/>
    <col min="2" max="2" width="7.88281" style="6" customWidth="1"/>
    <col min="3" max="3" width="9.05469" style="6" customWidth="1"/>
    <col min="4" max="4" width="11.0625" style="6" customWidth="1"/>
    <col min="5" max="7" width="9.05469" style="6" customWidth="1"/>
    <col min="8" max="16384" width="16.3516" style="6" customWidth="1"/>
  </cols>
  <sheetData>
    <row r="1" ht="29.2" customHeight="1"/>
    <row r="2" ht="27.65" customHeight="1">
      <c r="B2" t="s" s="7">
        <v>5</v>
      </c>
      <c r="C2" s="7"/>
      <c r="D2" s="7"/>
      <c r="E2" s="7"/>
      <c r="F2" s="7"/>
      <c r="G2" s="7"/>
    </row>
    <row r="3" ht="32.25" customHeight="1">
      <c r="B3" t="s" s="8">
        <v>7</v>
      </c>
      <c r="C3" t="s" s="8">
        <v>8</v>
      </c>
      <c r="D3" t="s" s="8">
        <v>9</v>
      </c>
      <c r="E3" t="s" s="8">
        <v>10</v>
      </c>
      <c r="F3" t="s" s="8">
        <v>11</v>
      </c>
      <c r="G3" t="s" s="8">
        <v>9</v>
      </c>
    </row>
    <row r="4" ht="20.25" customHeight="1">
      <c r="B4" s="9">
        <v>2017</v>
      </c>
      <c r="C4" s="10">
        <v>2975</v>
      </c>
      <c r="D4" s="11"/>
      <c r="E4" s="12"/>
      <c r="F4" s="13">
        <f>('Cashflow  - Quarterly Cashflow'!C4+'Cashflow  - Quarterly Cashflow'!D4+'Cashflow  - Quarterly Cashflow'!E4-C4)/C4</f>
        <v>-0.644033613445378</v>
      </c>
      <c r="G4" s="13"/>
    </row>
    <row r="5" ht="20.05" customHeight="1">
      <c r="B5" s="14"/>
      <c r="C5" s="15">
        <v>3136</v>
      </c>
      <c r="D5" s="16"/>
      <c r="E5" s="17">
        <f>C5/C4-1</f>
        <v>0.0541176470588235</v>
      </c>
      <c r="F5" s="17">
        <f>('Cashflow  - Quarterly Cashflow'!C5+'Cashflow  - Quarterly Cashflow'!D5+'Cashflow  - Quarterly Cashflow'!E5-C5)/C5</f>
        <v>-0.636798469387755</v>
      </c>
      <c r="G5" s="17"/>
    </row>
    <row r="6" ht="20.05" customHeight="1">
      <c r="B6" s="14"/>
      <c r="C6" s="15">
        <v>3239</v>
      </c>
      <c r="D6" s="16"/>
      <c r="E6" s="17">
        <f>C6/C5-1</f>
        <v>0.032844387755102</v>
      </c>
      <c r="F6" s="17">
        <f>('Cashflow  - Quarterly Cashflow'!C6+'Cashflow  - Quarterly Cashflow'!D6+'Cashflow  - Quarterly Cashflow'!E6-C6)/C6</f>
        <v>-0.679839456622414</v>
      </c>
      <c r="G6" s="17"/>
    </row>
    <row r="7" ht="20.05" customHeight="1">
      <c r="B7" s="14"/>
      <c r="C7" s="15">
        <v>3705</v>
      </c>
      <c r="D7" s="16"/>
      <c r="E7" s="17">
        <f>C7/C6-1</f>
        <v>0.143871565297931</v>
      </c>
      <c r="F7" s="17">
        <f>('Cashflow  - Quarterly Cashflow'!C7+'Cashflow  - Quarterly Cashflow'!D7+'Cashflow  - Quarterly Cashflow'!E7-C7)/C7</f>
        <v>-1.0331983805668</v>
      </c>
      <c r="G7" s="17"/>
    </row>
    <row r="8" ht="20.05" customHeight="1">
      <c r="B8" s="18">
        <v>2018</v>
      </c>
      <c r="C8" s="15">
        <v>3685</v>
      </c>
      <c r="D8" s="16"/>
      <c r="E8" s="17">
        <f>C8/C7-1</f>
        <v>-0.00539811066126856</v>
      </c>
      <c r="F8" s="17">
        <f>('Cashflow  - Quarterly Cashflow'!C8+'Cashflow  - Quarterly Cashflow'!D8+'Cashflow  - Quarterly Cashflow'!E8-C8)/C8</f>
        <v>-0.61438263229308</v>
      </c>
      <c r="G8" s="17"/>
    </row>
    <row r="9" ht="20.05" customHeight="1">
      <c r="B9" s="14"/>
      <c r="C9" s="15">
        <v>3857</v>
      </c>
      <c r="D9" s="16"/>
      <c r="E9" s="17">
        <f>C9/C8-1</f>
        <v>0.0466757123473541</v>
      </c>
      <c r="F9" s="17">
        <f>('Cashflow  - Quarterly Cashflow'!C9+'Cashflow  - Quarterly Cashflow'!D9+'Cashflow  - Quarterly Cashflow'!E9-C9)/C9</f>
        <v>-0.657246564687581</v>
      </c>
      <c r="G9" s="17"/>
    </row>
    <row r="10" ht="20.05" customHeight="1">
      <c r="B10" s="14"/>
      <c r="C10" s="15">
        <v>3683</v>
      </c>
      <c r="D10" s="16"/>
      <c r="E10" s="17">
        <f>C10/C9-1</f>
        <v>-0.0451127819548872</v>
      </c>
      <c r="F10" s="17">
        <f>('Cashflow  - Quarterly Cashflow'!C10+'Cashflow  - Quarterly Cashflow'!D10+'Cashflow  - Quarterly Cashflow'!E10-C10)/C10</f>
        <v>-0.736356231333152</v>
      </c>
      <c r="G10" s="17"/>
    </row>
    <row r="11" ht="20.05" customHeight="1">
      <c r="B11" s="14"/>
      <c r="C11" s="15">
        <v>4226</v>
      </c>
      <c r="D11" s="16"/>
      <c r="E11" s="17">
        <f>C11/C10-1</f>
        <v>0.147434156937279</v>
      </c>
      <c r="F11" s="17">
        <f>('Cashflow  - Quarterly Cashflow'!C11+'Cashflow  - Quarterly Cashflow'!D11+'Cashflow  - Quarterly Cashflow'!E11-C11)/C11</f>
        <v>-0.7285849503076191</v>
      </c>
      <c r="G11" s="17"/>
    </row>
    <row r="12" ht="20.05" customHeight="1">
      <c r="B12" s="18">
        <v>2019</v>
      </c>
      <c r="C12" s="15">
        <v>4128</v>
      </c>
      <c r="D12" s="16"/>
      <c r="E12" s="17">
        <f>C12/C11-1</f>
        <v>-0.0231897775674397</v>
      </c>
      <c r="F12" s="17">
        <f>('Cashflow  - Quarterly Cashflow'!C12+'Cashflow  - Quarterly Cashflow'!D12+'Cashflow  - Quarterly Cashflow'!E12-C12)/C12</f>
        <v>-0.676598837209302</v>
      </c>
      <c r="G12" s="17"/>
    </row>
    <row r="13" ht="20.05" customHeight="1">
      <c r="B13" s="14"/>
      <c r="C13" s="15">
        <v>4305</v>
      </c>
      <c r="D13" s="16"/>
      <c r="E13" s="17">
        <f>C13/C12-1</f>
        <v>0.0428779069767442</v>
      </c>
      <c r="F13" s="17">
        <f>('Cashflow  - Quarterly Cashflow'!C13+'Cashflow  - Quarterly Cashflow'!D13+'Cashflow  - Quarterly Cashflow'!E13-C13)/C13</f>
        <v>-0.701045296167247</v>
      </c>
      <c r="G13" s="17"/>
    </row>
    <row r="14" ht="20.05" customHeight="1">
      <c r="B14" s="14"/>
      <c r="C14" s="15">
        <v>4378</v>
      </c>
      <c r="D14" s="16"/>
      <c r="E14" s="17">
        <f>C14/C13-1</f>
        <v>0.0169570267131243</v>
      </c>
      <c r="F14" s="17">
        <f>('Cashflow  - Quarterly Cashflow'!C14+'Cashflow  - Quarterly Cashflow'!D14+'Cashflow  - Quarterly Cashflow'!E14-C14)/C14</f>
        <v>-0.6966651439013249</v>
      </c>
      <c r="G14" s="17"/>
    </row>
    <row r="15" ht="20.05" customHeight="1">
      <c r="B15" s="14"/>
      <c r="C15" s="15">
        <v>4961</v>
      </c>
      <c r="D15" s="16"/>
      <c r="E15" s="17">
        <f>C15/C14-1</f>
        <v>0.133165829145729</v>
      </c>
      <c r="F15" s="17">
        <f>('Cashflow  - Quarterly Cashflow'!C15+'Cashflow  - Quarterly Cashflow'!D15+'Cashflow  - Quarterly Cashflow'!E15-C15)/C15</f>
        <v>-0.758919572666801</v>
      </c>
      <c r="G15" s="17"/>
    </row>
    <row r="16" ht="20.05" customHeight="1">
      <c r="B16" s="18">
        <v>2020</v>
      </c>
      <c r="C16" s="15">
        <v>4618</v>
      </c>
      <c r="D16" s="16"/>
      <c r="E16" s="17">
        <f>C16/C15-1</f>
        <v>-0.06913928643418669</v>
      </c>
      <c r="F16" s="17">
        <f>('Cashflow  - Quarterly Cashflow'!C16+'Cashflow  - Quarterly Cashflow'!D16+'Cashflow  - Quarterly Cashflow'!E16-C16)/C16</f>
        <v>-0.720441749675184</v>
      </c>
      <c r="G16" s="17"/>
    </row>
    <row r="17" ht="20.05" customHeight="1">
      <c r="B17" s="14"/>
      <c r="C17" s="15">
        <v>5261</v>
      </c>
      <c r="D17" s="19"/>
      <c r="E17" s="17">
        <f>C17/C16-1</f>
        <v>0.139237765266349</v>
      </c>
      <c r="F17" s="17">
        <f>('Cashflow  - Quarterly Cashflow'!C17+'Cashflow  - Quarterly Cashflow'!D17+'Cashflow  - Quarterly Cashflow'!E17-C17)/C17</f>
        <v>-0.649496293480327</v>
      </c>
      <c r="G17" s="17"/>
    </row>
    <row r="18" ht="20.05" customHeight="1">
      <c r="B18" s="14"/>
      <c r="C18" s="15">
        <v>5459</v>
      </c>
      <c r="D18" s="19">
        <f>C18</f>
        <v>5459</v>
      </c>
      <c r="E18" s="17">
        <f>C18/C17-1</f>
        <v>0.0376354305265159</v>
      </c>
      <c r="F18" s="17">
        <f>('Cashflow  - Quarterly Cashflow'!C18+'Cashflow  - Quarterly Cashflow'!D18+'Cashflow  - Quarterly Cashflow'!E18-C18)/C18</f>
        <v>-0.67155156622092</v>
      </c>
      <c r="G18" s="20"/>
    </row>
    <row r="19" ht="20.05" customHeight="1">
      <c r="B19" s="14"/>
      <c r="C19" s="15">
        <v>6116</v>
      </c>
      <c r="D19" s="19">
        <v>5950.31</v>
      </c>
      <c r="E19" s="17">
        <f>C19/C18-1</f>
        <v>0.120351712767906</v>
      </c>
      <c r="F19" s="17">
        <f>('Cashflow  - Quarterly Cashflow'!C19+'Cashflow  - Quarterly Cashflow'!D19+'Cashflow  - Quarterly Cashflow'!E19-C19)/C19</f>
        <v>-0.692936559843035</v>
      </c>
      <c r="G19" s="21">
        <f>F19</f>
        <v>-0.692936559843035</v>
      </c>
    </row>
    <row r="20" ht="20.05" customHeight="1">
      <c r="B20" s="18">
        <v>2021</v>
      </c>
      <c r="C20" s="22"/>
      <c r="D20" s="23">
        <f>'Model - Financial model'!D6</f>
        <v>6297.0336</v>
      </c>
      <c r="E20" s="20"/>
      <c r="F20" s="20"/>
      <c r="G20" s="21">
        <f>'Model - Financial model'!C7</f>
        <v>-0.692936559843035</v>
      </c>
    </row>
    <row r="21" ht="20.05" customHeight="1">
      <c r="B21" s="14"/>
      <c r="C21" s="15"/>
      <c r="D21" s="23">
        <f>'Model - Financial model'!E6</f>
        <v>6485.944608</v>
      </c>
      <c r="E21" s="24"/>
      <c r="F21" s="20"/>
      <c r="G21" s="20"/>
    </row>
    <row r="22" ht="20.05" customHeight="1">
      <c r="B22" s="14"/>
      <c r="C22" s="15"/>
      <c r="D22" s="23">
        <f>'Model - Financial model'!F6</f>
        <v>7134.5390688</v>
      </c>
      <c r="E22" s="20"/>
      <c r="F22" s="20"/>
      <c r="G22" s="20"/>
    </row>
  </sheetData>
  <mergeCells count="1">
    <mergeCell ref="B2:G2"/>
  </mergeCells>
  <pageMargins left="0.5" right="0.5" top="0.75" bottom="0.75" header="0.277778" footer="0.277778"/>
  <pageSetup firstPageNumber="1" fitToHeight="1" fitToWidth="1" scale="72"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sheetPr>
    <pageSetUpPr fitToPage="1"/>
  </sheetPr>
  <dimension ref="B3:L20"/>
  <sheetViews>
    <sheetView workbookViewId="0" showGridLines="0" defaultGridColor="1">
      <pane topLeftCell="C4" xSplit="2" ySplit="3" activePane="bottomRight" state="frozen"/>
    </sheetView>
  </sheetViews>
  <sheetFormatPr defaultColWidth="16.3333" defaultRowHeight="19.9" customHeight="1" outlineLevelRow="0" outlineLevelCol="0"/>
  <cols>
    <col min="1" max="1" width="6.21875" style="25" customWidth="1"/>
    <col min="2" max="2" width="9.80469" style="25" customWidth="1"/>
    <col min="3" max="12" width="9.78906" style="25" customWidth="1"/>
    <col min="13" max="16384" width="16.3516" style="25" customWidth="1"/>
  </cols>
  <sheetData>
    <row r="1" ht="50.6" customHeight="1"/>
    <row r="2" ht="27.65" customHeight="1">
      <c r="B2" t="s" s="7">
        <v>13</v>
      </c>
      <c r="C2" s="7"/>
      <c r="D2" s="7"/>
      <c r="E2" s="7"/>
      <c r="F2" s="7"/>
      <c r="G2" s="7"/>
      <c r="H2" s="7"/>
      <c r="I2" s="7"/>
      <c r="J2" s="7"/>
      <c r="K2" s="7"/>
      <c r="L2" s="7"/>
    </row>
    <row r="3" ht="32.25" customHeight="1">
      <c r="B3" t="s" s="8">
        <v>7</v>
      </c>
      <c r="C3" t="s" s="8">
        <v>15</v>
      </c>
      <c r="D3" t="s" s="8">
        <v>16</v>
      </c>
      <c r="E3" t="s" s="8">
        <v>17</v>
      </c>
      <c r="F3" t="s" s="8">
        <v>18</v>
      </c>
      <c r="G3" t="s" s="8">
        <v>19</v>
      </c>
      <c r="H3" t="s" s="8">
        <v>20</v>
      </c>
      <c r="I3" t="s" s="8">
        <v>21</v>
      </c>
      <c r="J3" t="s" s="8">
        <v>22</v>
      </c>
      <c r="K3" t="s" s="8">
        <v>9</v>
      </c>
      <c r="L3" t="s" s="8">
        <v>23</v>
      </c>
    </row>
    <row r="4" ht="20.25" customHeight="1">
      <c r="B4" s="9">
        <v>2017</v>
      </c>
      <c r="C4" s="26">
        <v>384</v>
      </c>
      <c r="D4" s="27">
        <v>183</v>
      </c>
      <c r="E4" s="27">
        <v>492</v>
      </c>
      <c r="F4" s="27">
        <v>-148</v>
      </c>
      <c r="G4" s="27">
        <v>751</v>
      </c>
      <c r="H4" s="27">
        <v>-1243</v>
      </c>
      <c r="I4" s="27">
        <v>-54</v>
      </c>
      <c r="J4" s="27">
        <f>G4+F4</f>
        <v>603</v>
      </c>
      <c r="K4" s="27"/>
      <c r="L4" s="27">
        <f>-(I4)</f>
        <v>54</v>
      </c>
    </row>
    <row r="5" ht="20.05" customHeight="1">
      <c r="B5" s="14"/>
      <c r="C5" s="28">
        <v>411</v>
      </c>
      <c r="D5" s="23">
        <v>201</v>
      </c>
      <c r="E5" s="23">
        <v>527</v>
      </c>
      <c r="F5" s="23">
        <v>-174</v>
      </c>
      <c r="G5" s="23">
        <v>921</v>
      </c>
      <c r="H5" s="23">
        <v>-1729</v>
      </c>
      <c r="I5" s="23">
        <v>1042</v>
      </c>
      <c r="J5" s="23">
        <f>G5+F5</f>
        <v>747</v>
      </c>
      <c r="K5" s="23"/>
      <c r="L5" s="23">
        <f>-(I5)+L4</f>
        <v>-988</v>
      </c>
    </row>
    <row r="6" ht="20.05" customHeight="1">
      <c r="B6" s="14"/>
      <c r="C6" s="28">
        <v>380</v>
      </c>
      <c r="D6" s="23">
        <v>194</v>
      </c>
      <c r="E6" s="23">
        <v>463</v>
      </c>
      <c r="F6" s="23">
        <v>-165</v>
      </c>
      <c r="G6" s="23">
        <v>1006</v>
      </c>
      <c r="H6" s="23">
        <v>-651</v>
      </c>
      <c r="I6" s="23">
        <v>1439</v>
      </c>
      <c r="J6" s="23">
        <f>G6+F6</f>
        <v>841</v>
      </c>
      <c r="K6" s="23"/>
      <c r="L6" s="23">
        <f>-(I6)+L5</f>
        <v>-2427</v>
      </c>
    </row>
    <row r="7" ht="20.05" customHeight="1">
      <c r="B7" s="14"/>
      <c r="C7" s="28">
        <v>620</v>
      </c>
      <c r="D7" s="23">
        <v>227</v>
      </c>
      <c r="E7" s="23">
        <v>-970</v>
      </c>
      <c r="F7" s="23">
        <v>-180</v>
      </c>
      <c r="G7" s="23">
        <v>-147</v>
      </c>
      <c r="H7" s="23">
        <v>-862</v>
      </c>
      <c r="I7" s="23">
        <v>1657</v>
      </c>
      <c r="J7" s="23">
        <f>G7+F7</f>
        <v>-327</v>
      </c>
      <c r="K7" s="23"/>
      <c r="L7" s="23">
        <f>-(I7)+L6</f>
        <v>-4084</v>
      </c>
    </row>
    <row r="8" ht="20.05" customHeight="1">
      <c r="B8" s="18">
        <v>2018</v>
      </c>
      <c r="C8" s="28">
        <v>511</v>
      </c>
      <c r="D8" s="23">
        <v>185</v>
      </c>
      <c r="E8" s="23">
        <v>725</v>
      </c>
      <c r="F8" s="23">
        <v>-178</v>
      </c>
      <c r="G8" s="23">
        <v>-349</v>
      </c>
      <c r="H8" s="23">
        <v>5</v>
      </c>
      <c r="I8" s="23">
        <v>793</v>
      </c>
      <c r="J8" s="23">
        <f>G8+F8</f>
        <v>-527</v>
      </c>
      <c r="K8" s="23"/>
      <c r="L8" s="23">
        <f>-(I8)+L7</f>
        <v>-4877</v>
      </c>
    </row>
    <row r="9" ht="20.05" customHeight="1">
      <c r="B9" s="14"/>
      <c r="C9" s="28">
        <v>526</v>
      </c>
      <c r="D9" s="23">
        <v>180</v>
      </c>
      <c r="E9" s="23">
        <v>616</v>
      </c>
      <c r="F9" s="23">
        <v>-198</v>
      </c>
      <c r="G9" s="23">
        <v>28</v>
      </c>
      <c r="H9" s="23">
        <v>558</v>
      </c>
      <c r="I9" s="23">
        <v>-1335</v>
      </c>
      <c r="J9" s="23">
        <f>G9+F9</f>
        <v>-170</v>
      </c>
      <c r="K9" s="23"/>
      <c r="L9" s="23">
        <f>-(I9)+L8</f>
        <v>-3542</v>
      </c>
    </row>
    <row r="10" ht="20.05" customHeight="1">
      <c r="B10" s="14"/>
      <c r="C10" s="28">
        <v>436</v>
      </c>
      <c r="D10" s="23">
        <v>188</v>
      </c>
      <c r="E10" s="23">
        <v>347</v>
      </c>
      <c r="F10" s="23">
        <v>-223</v>
      </c>
      <c r="G10" s="23">
        <v>4670</v>
      </c>
      <c r="H10" s="23">
        <v>154</v>
      </c>
      <c r="I10" s="23">
        <v>1049</v>
      </c>
      <c r="J10" s="23">
        <f>G10+F10</f>
        <v>4447</v>
      </c>
      <c r="K10" s="23"/>
      <c r="L10" s="23">
        <f>-(I10)+L9</f>
        <v>-4591</v>
      </c>
    </row>
    <row r="11" ht="20.05" customHeight="1">
      <c r="B11" s="14"/>
      <c r="C11" s="28">
        <v>584</v>
      </c>
      <c r="D11" s="23">
        <v>223</v>
      </c>
      <c r="E11" s="23">
        <v>340</v>
      </c>
      <c r="F11" s="23">
        <v>-224</v>
      </c>
      <c r="G11" s="23">
        <v>1134</v>
      </c>
      <c r="H11" s="23">
        <v>123</v>
      </c>
      <c r="I11" s="23">
        <v>-1769</v>
      </c>
      <c r="J11" s="23">
        <f>G11+F11</f>
        <v>910</v>
      </c>
      <c r="K11" s="23"/>
      <c r="L11" s="23">
        <f>-(I11)+L10</f>
        <v>-2822</v>
      </c>
    </row>
    <row r="12" ht="20.05" customHeight="1">
      <c r="B12" s="18">
        <v>2019</v>
      </c>
      <c r="C12" s="28">
        <v>667</v>
      </c>
      <c r="D12" s="23">
        <v>230</v>
      </c>
      <c r="E12" s="23">
        <v>438</v>
      </c>
      <c r="F12" s="23">
        <v>-218</v>
      </c>
      <c r="G12" s="23">
        <v>1027</v>
      </c>
      <c r="H12" s="23">
        <v>-4860</v>
      </c>
      <c r="I12" s="23">
        <v>1502</v>
      </c>
      <c r="J12" s="23">
        <f>G12+F12</f>
        <v>809</v>
      </c>
      <c r="K12" s="20"/>
      <c r="L12" s="23">
        <f>-(I12)+L11</f>
        <v>-4324</v>
      </c>
    </row>
    <row r="13" ht="20.05" customHeight="1">
      <c r="B13" s="14"/>
      <c r="C13" s="28">
        <v>823</v>
      </c>
      <c r="D13" s="23">
        <v>228</v>
      </c>
      <c r="E13" s="23">
        <v>236</v>
      </c>
      <c r="F13" s="23">
        <v>-139</v>
      </c>
      <c r="G13" s="23">
        <v>1174</v>
      </c>
      <c r="H13" s="23">
        <v>-1097</v>
      </c>
      <c r="I13" s="23">
        <v>996</v>
      </c>
      <c r="J13" s="23">
        <f>G13+F13</f>
        <v>1035</v>
      </c>
      <c r="K13" s="20"/>
      <c r="L13" s="23">
        <f>-(I13)+L12</f>
        <v>-5320</v>
      </c>
    </row>
    <row r="14" ht="20.05" customHeight="1">
      <c r="B14" s="14"/>
      <c r="C14" s="28">
        <v>462</v>
      </c>
      <c r="D14" s="23">
        <v>227</v>
      </c>
      <c r="E14" s="23">
        <v>639</v>
      </c>
      <c r="F14" s="23">
        <v>-173</v>
      </c>
      <c r="G14" s="23">
        <v>1096</v>
      </c>
      <c r="H14" s="23">
        <v>623</v>
      </c>
      <c r="I14" s="23">
        <v>1339</v>
      </c>
      <c r="J14" s="23">
        <f>G14+F14</f>
        <v>923</v>
      </c>
      <c r="K14" s="20"/>
      <c r="L14" s="23">
        <f>-(I14)+L13</f>
        <v>-6659</v>
      </c>
    </row>
    <row r="15" ht="20.05" customHeight="1">
      <c r="B15" s="14"/>
      <c r="C15" s="28">
        <v>507</v>
      </c>
      <c r="D15" s="23">
        <v>227</v>
      </c>
      <c r="E15" s="23">
        <v>462</v>
      </c>
      <c r="F15" s="23">
        <v>-174</v>
      </c>
      <c r="G15" s="23">
        <v>1264</v>
      </c>
      <c r="H15" s="23">
        <v>-399</v>
      </c>
      <c r="I15" s="23">
        <v>-149</v>
      </c>
      <c r="J15" s="23">
        <f>G15+F15</f>
        <v>1090</v>
      </c>
      <c r="K15" s="20"/>
      <c r="L15" s="23">
        <f>-(I15)+L14</f>
        <v>-6510</v>
      </c>
    </row>
    <row r="16" ht="20.05" customHeight="1">
      <c r="B16" s="18">
        <v>2020</v>
      </c>
      <c r="C16" s="28">
        <v>84</v>
      </c>
      <c r="D16" s="23">
        <v>293</v>
      </c>
      <c r="E16" s="23">
        <v>914</v>
      </c>
      <c r="F16" s="23">
        <v>-206</v>
      </c>
      <c r="G16" s="23">
        <v>1504</v>
      </c>
      <c r="H16" s="23">
        <v>-2568</v>
      </c>
      <c r="I16" s="23">
        <v>2241</v>
      </c>
      <c r="J16" s="23">
        <f>G16+F16</f>
        <v>1298</v>
      </c>
      <c r="K16" s="20"/>
      <c r="L16" s="23">
        <f>-(I16)+L15</f>
        <v>-8751</v>
      </c>
    </row>
    <row r="17" ht="20.05" customHeight="1">
      <c r="B17" s="14"/>
      <c r="C17" s="28">
        <v>1530</v>
      </c>
      <c r="D17" s="23">
        <v>297</v>
      </c>
      <c r="E17" s="23">
        <v>17</v>
      </c>
      <c r="F17" s="23">
        <v>-193</v>
      </c>
      <c r="G17" s="23">
        <v>2383</v>
      </c>
      <c r="H17" s="23">
        <v>-7505</v>
      </c>
      <c r="I17" s="23">
        <v>6278</v>
      </c>
      <c r="J17" s="23">
        <f>G17+F17</f>
        <v>2190</v>
      </c>
      <c r="K17" s="20"/>
      <c r="L17" s="23">
        <f>-(I17)+L16</f>
        <v>-15029</v>
      </c>
    </row>
    <row r="18" ht="20.05" customHeight="1">
      <c r="B18" s="14"/>
      <c r="C18" s="28">
        <v>1021</v>
      </c>
      <c r="D18" s="23">
        <v>298</v>
      </c>
      <c r="E18" s="23">
        <v>474</v>
      </c>
      <c r="F18" s="23">
        <v>-241</v>
      </c>
      <c r="G18" s="23">
        <v>720</v>
      </c>
      <c r="H18" s="23">
        <v>-3193</v>
      </c>
      <c r="I18" s="23">
        <v>1493</v>
      </c>
      <c r="J18" s="23">
        <f>G18+F18</f>
        <v>479</v>
      </c>
      <c r="K18" s="23"/>
      <c r="L18" s="23">
        <f>-(I18)+L17</f>
        <v>-16522</v>
      </c>
    </row>
    <row r="19" ht="20.05" customHeight="1">
      <c r="B19" s="14"/>
      <c r="C19" s="28">
        <v>1567</v>
      </c>
      <c r="D19" s="23">
        <v>301</v>
      </c>
      <c r="E19" s="23">
        <v>10</v>
      </c>
      <c r="F19" s="23">
        <v>-226</v>
      </c>
      <c r="G19" s="23">
        <v>1347</v>
      </c>
      <c r="H19" s="23">
        <v>-2934</v>
      </c>
      <c r="I19" s="23">
        <v>2362</v>
      </c>
      <c r="J19" s="23">
        <f>G19+F19</f>
        <v>1121</v>
      </c>
      <c r="K19" s="23">
        <f>AVERAGE(J16:J19)</f>
        <v>1272</v>
      </c>
      <c r="L19" s="23">
        <f>-(I19)+L18</f>
        <v>-18884</v>
      </c>
    </row>
    <row r="20" ht="20.05" customHeight="1">
      <c r="B20" s="14"/>
      <c r="C20" s="28"/>
      <c r="D20" s="23"/>
      <c r="E20" s="23"/>
      <c r="F20" s="23"/>
      <c r="G20" s="23"/>
      <c r="H20" s="23"/>
      <c r="I20" s="23">
        <f>SUM('Model - Financial model'!C11:F11)</f>
        <v>-7071.1613744</v>
      </c>
      <c r="J20" s="23"/>
      <c r="K20" s="23">
        <f>SUM('Model - Financial model'!C9:F10)/4</f>
        <v>1767.7903436</v>
      </c>
      <c r="L20" s="23">
        <f>-(I20)+L19</f>
        <v>-11812.8386256</v>
      </c>
    </row>
  </sheetData>
  <mergeCells count="1">
    <mergeCell ref="B2:L2"/>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B3:K20"/>
  <sheetViews>
    <sheetView workbookViewId="0" showGridLines="0" defaultGridColor="1">
      <pane topLeftCell="C4" xSplit="2" ySplit="3" activePane="bottomRight" state="frozen"/>
    </sheetView>
  </sheetViews>
  <sheetFormatPr defaultColWidth="16.3333" defaultRowHeight="19.9" customHeight="1" outlineLevelRow="0" outlineLevelCol="0"/>
  <cols>
    <col min="1" max="1" width="12.0391" style="29" customWidth="1"/>
    <col min="2" max="2" width="9.75" style="29" customWidth="1"/>
    <col min="3" max="11" width="10.7422" style="29" customWidth="1"/>
    <col min="12" max="16384" width="16.3516" style="29" customWidth="1"/>
  </cols>
  <sheetData>
    <row r="1" ht="38.45" customHeight="1"/>
    <row r="2" ht="27.65" customHeight="1">
      <c r="B2" t="s" s="7">
        <v>24</v>
      </c>
      <c r="C2" s="7"/>
      <c r="D2" s="7"/>
      <c r="E2" s="7"/>
      <c r="F2" s="7"/>
      <c r="G2" s="7"/>
      <c r="H2" s="7"/>
      <c r="I2" s="7"/>
      <c r="J2" s="7"/>
      <c r="K2" s="7"/>
    </row>
    <row r="3" ht="32.25" customHeight="1">
      <c r="B3" t="s" s="8">
        <v>7</v>
      </c>
      <c r="C3" t="s" s="8">
        <v>26</v>
      </c>
      <c r="D3" t="s" s="8">
        <v>27</v>
      </c>
      <c r="E3" t="s" s="8">
        <v>28</v>
      </c>
      <c r="F3" t="s" s="8">
        <v>16</v>
      </c>
      <c r="G3" t="s" s="8">
        <v>29</v>
      </c>
      <c r="H3" t="s" s="8">
        <v>30</v>
      </c>
      <c r="I3" t="s" s="8">
        <v>31</v>
      </c>
      <c r="J3" t="s" s="8">
        <v>32</v>
      </c>
      <c r="K3" t="s" s="8">
        <v>9</v>
      </c>
    </row>
    <row r="4" ht="20.25" customHeight="1">
      <c r="B4" s="9">
        <v>2017</v>
      </c>
      <c r="C4" s="26"/>
      <c r="D4" s="27"/>
      <c r="E4" s="12"/>
      <c r="F4" s="27"/>
      <c r="G4" s="12"/>
      <c r="H4" s="12"/>
      <c r="I4" s="12"/>
      <c r="J4" s="12"/>
      <c r="K4" s="27"/>
    </row>
    <row r="5" ht="20.05" customHeight="1">
      <c r="B5" s="14"/>
      <c r="C5" s="28"/>
      <c r="D5" s="23"/>
      <c r="E5" s="20"/>
      <c r="F5" s="23"/>
      <c r="G5" s="20"/>
      <c r="H5" s="20"/>
      <c r="I5" s="20"/>
      <c r="J5" s="20"/>
      <c r="K5" s="23"/>
    </row>
    <row r="6" ht="20.05" customHeight="1">
      <c r="B6" s="14"/>
      <c r="C6" s="28"/>
      <c r="D6" s="23"/>
      <c r="E6" s="20"/>
      <c r="F6" s="23"/>
      <c r="G6" s="20"/>
      <c r="H6" s="20"/>
      <c r="I6" s="20"/>
      <c r="J6" s="20"/>
      <c r="K6" s="23"/>
    </row>
    <row r="7" ht="20.05" customHeight="1">
      <c r="B7" s="14"/>
      <c r="C7" s="28">
        <v>2883</v>
      </c>
      <c r="D7" s="23">
        <v>40774</v>
      </c>
      <c r="E7" s="23">
        <f>D7-C7</f>
        <v>37891</v>
      </c>
      <c r="F7" s="23">
        <f>'Cashflow  - Quarterly Cashflow'!D7</f>
        <v>227</v>
      </c>
      <c r="G7" s="23">
        <v>24780</v>
      </c>
      <c r="H7" s="23">
        <v>15994</v>
      </c>
      <c r="I7" s="23">
        <f>G7+H7-C7-E7</f>
        <v>0</v>
      </c>
      <c r="J7" s="23">
        <f>C7-G7</f>
        <v>-21897</v>
      </c>
      <c r="K7" s="23"/>
    </row>
    <row r="8" ht="20.05" customHeight="1">
      <c r="B8" s="18">
        <v>2018</v>
      </c>
      <c r="C8" s="28">
        <v>2879</v>
      </c>
      <c r="D8" s="23">
        <v>42322</v>
      </c>
      <c r="E8" s="23">
        <f>D8-C8</f>
        <v>39443</v>
      </c>
      <c r="F8" s="23">
        <f>F7+'Cashflow  - Quarterly Cashflow'!D8</f>
        <v>412</v>
      </c>
      <c r="G8" s="23">
        <v>27681</v>
      </c>
      <c r="H8" s="23">
        <v>14641</v>
      </c>
      <c r="I8" s="23">
        <f>G8+H8-C8-E8</f>
        <v>0</v>
      </c>
      <c r="J8" s="23">
        <f>C8-G8</f>
        <v>-24802</v>
      </c>
      <c r="K8" s="23"/>
    </row>
    <row r="9" ht="20.05" customHeight="1">
      <c r="B9" s="14"/>
      <c r="C9" s="28">
        <v>2840</v>
      </c>
      <c r="D9" s="23">
        <v>41677</v>
      </c>
      <c r="E9" s="23">
        <f>D9-C9</f>
        <v>38837</v>
      </c>
      <c r="F9" s="23">
        <f>F8+'Cashflow  - Quarterly Cashflow'!D9</f>
        <v>592</v>
      </c>
      <c r="G9" s="23">
        <v>26658</v>
      </c>
      <c r="H9" s="23">
        <v>15019</v>
      </c>
      <c r="I9" s="23">
        <f>G9+H9-C9-E9</f>
        <v>0</v>
      </c>
      <c r="J9" s="23">
        <f>C9-G9</f>
        <v>-23818</v>
      </c>
      <c r="K9" s="23"/>
    </row>
    <row r="10" ht="20.05" customHeight="1">
      <c r="B10" s="14"/>
      <c r="C10" s="28">
        <v>8147</v>
      </c>
      <c r="D10" s="23">
        <v>43724</v>
      </c>
      <c r="E10" s="23">
        <f>D10-C10</f>
        <v>35577</v>
      </c>
      <c r="F10" s="23">
        <f>F9+'Cashflow  - Quarterly Cashflow'!D10</f>
        <v>780</v>
      </c>
      <c r="G10" s="23">
        <v>28609</v>
      </c>
      <c r="H10" s="23">
        <v>15115</v>
      </c>
      <c r="I10" s="23">
        <f>G10+H10-C10-E10</f>
        <v>0</v>
      </c>
      <c r="J10" s="23">
        <f>C10-G10</f>
        <v>-20462</v>
      </c>
      <c r="K10" s="23"/>
    </row>
    <row r="11" ht="20.05" customHeight="1">
      <c r="B11" s="14"/>
      <c r="C11" s="28">
        <v>7575</v>
      </c>
      <c r="D11" s="23">
        <v>43332</v>
      </c>
      <c r="E11" s="23">
        <f>D11-C11</f>
        <v>35757</v>
      </c>
      <c r="F11" s="23">
        <f>F10+'Cashflow  - Quarterly Cashflow'!D11</f>
        <v>1003</v>
      </c>
      <c r="G11" s="23">
        <v>27946</v>
      </c>
      <c r="H11" s="23">
        <v>15386</v>
      </c>
      <c r="I11" s="23">
        <f>G11+H11-C11-E11</f>
        <v>0</v>
      </c>
      <c r="J11" s="23">
        <f>C11-G11</f>
        <v>-20371</v>
      </c>
      <c r="K11" s="23"/>
    </row>
    <row r="12" ht="20.05" customHeight="1">
      <c r="B12" s="18">
        <v>2019</v>
      </c>
      <c r="C12" s="28">
        <v>4515</v>
      </c>
      <c r="D12" s="23">
        <v>46280</v>
      </c>
      <c r="E12" s="23">
        <f>D12-C12</f>
        <v>41765</v>
      </c>
      <c r="F12" s="23">
        <f>F11+'Cashflow  - Quarterly Cashflow'!D12</f>
        <v>1233</v>
      </c>
      <c r="G12" s="23">
        <v>31123</v>
      </c>
      <c r="H12" s="23">
        <v>15157</v>
      </c>
      <c r="I12" s="23">
        <f>G12+H12-C12-E12</f>
        <v>0</v>
      </c>
      <c r="J12" s="23">
        <f>C12-G12</f>
        <v>-26608</v>
      </c>
      <c r="K12" s="23"/>
    </row>
    <row r="13" ht="20.05" customHeight="1">
      <c r="B13" s="14"/>
      <c r="C13" s="28">
        <v>4909</v>
      </c>
      <c r="D13" s="23">
        <v>48391</v>
      </c>
      <c r="E13" s="23">
        <f>D13-C13</f>
        <v>43482</v>
      </c>
      <c r="F13" s="23">
        <f>F12+'Cashflow  - Quarterly Cashflow'!D13</f>
        <v>1461</v>
      </c>
      <c r="G13" s="23">
        <v>32252</v>
      </c>
      <c r="H13" s="23">
        <v>16139</v>
      </c>
      <c r="I13" s="23">
        <f>G13+H13-C13-E13</f>
        <v>0</v>
      </c>
      <c r="J13" s="23">
        <f>C13-G13</f>
        <v>-27343</v>
      </c>
      <c r="K13" s="23"/>
    </row>
    <row r="14" ht="20.05" customHeight="1">
      <c r="B14" s="14"/>
      <c r="C14" s="28">
        <v>6877</v>
      </c>
      <c r="D14" s="23">
        <v>50223</v>
      </c>
      <c r="E14" s="23">
        <f>D14-C14</f>
        <v>43346</v>
      </c>
      <c r="F14" s="23">
        <f>F13+'Cashflow  - Quarterly Cashflow'!D14</f>
        <v>1688</v>
      </c>
      <c r="G14" s="23">
        <v>33740</v>
      </c>
      <c r="H14" s="23">
        <v>16483</v>
      </c>
      <c r="I14" s="23">
        <f>G14+H14-C14-E14</f>
        <v>0</v>
      </c>
      <c r="J14" s="23">
        <f>C14-G14</f>
        <v>-26863</v>
      </c>
      <c r="K14" s="23"/>
    </row>
    <row r="15" ht="20.05" customHeight="1">
      <c r="B15" s="14"/>
      <c r="C15" s="28">
        <v>7349</v>
      </c>
      <c r="D15" s="23">
        <v>51333</v>
      </c>
      <c r="E15" s="23">
        <f>D15-C15</f>
        <v>43984</v>
      </c>
      <c r="F15" s="23">
        <f>F14+'Cashflow  - Quarterly Cashflow'!D15</f>
        <v>1915</v>
      </c>
      <c r="G15" s="23">
        <v>34404</v>
      </c>
      <c r="H15" s="23">
        <v>16929</v>
      </c>
      <c r="I15" s="23">
        <f>G15+H15-C15-E15</f>
        <v>0</v>
      </c>
      <c r="J15" s="23">
        <f>C15-G15</f>
        <v>-27055</v>
      </c>
      <c r="K15" s="23"/>
    </row>
    <row r="16" ht="20.05" customHeight="1">
      <c r="B16" s="18">
        <v>2020</v>
      </c>
      <c r="C16" s="28">
        <v>7854</v>
      </c>
      <c r="D16" s="23">
        <v>54266</v>
      </c>
      <c r="E16" s="23">
        <f>D16-C16</f>
        <v>46412</v>
      </c>
      <c r="F16" s="23">
        <f>F15+'Cashflow  - Quarterly Cashflow'!D16</f>
        <v>2208</v>
      </c>
      <c r="G16" s="23">
        <v>38255</v>
      </c>
      <c r="H16" s="23">
        <v>16011</v>
      </c>
      <c r="I16" s="23">
        <f>G16+H16-C16-E16</f>
        <v>0</v>
      </c>
      <c r="J16" s="23">
        <f>C16-G16</f>
        <v>-30401</v>
      </c>
      <c r="K16" s="23"/>
    </row>
    <row r="17" ht="20.05" customHeight="1">
      <c r="B17" s="14"/>
      <c r="C17" s="28">
        <v>6353</v>
      </c>
      <c r="D17" s="23">
        <v>63166</v>
      </c>
      <c r="E17" s="23">
        <f>D17-C17</f>
        <v>56813</v>
      </c>
      <c r="F17" s="23">
        <f>F16+'Cashflow  - Quarterly Cashflow'!D17</f>
        <v>2505</v>
      </c>
      <c r="G17" s="23">
        <v>45482</v>
      </c>
      <c r="H17" s="23">
        <v>17684</v>
      </c>
      <c r="I17" s="23">
        <f>G17+H17-C17-E17</f>
        <v>0</v>
      </c>
      <c r="J17" s="23">
        <f>C17-G17</f>
        <v>-39129</v>
      </c>
      <c r="K17" s="23"/>
    </row>
    <row r="18" ht="20.05" customHeight="1">
      <c r="B18" s="14"/>
      <c r="C18" s="28">
        <v>6112</v>
      </c>
      <c r="D18" s="23">
        <v>65582</v>
      </c>
      <c r="E18" s="23">
        <f>D18-C18</f>
        <v>59470</v>
      </c>
      <c r="F18" s="23">
        <f>F17+'Cashflow  - Quarterly Cashflow'!D18</f>
        <v>2803</v>
      </c>
      <c r="G18" s="23">
        <v>47055</v>
      </c>
      <c r="H18" s="23">
        <v>18527</v>
      </c>
      <c r="I18" s="23">
        <f>G18+H18-C18-E18</f>
        <v>0</v>
      </c>
      <c r="J18" s="23">
        <f>C18-G18</f>
        <v>-40943</v>
      </c>
      <c r="K18" s="23"/>
    </row>
    <row r="19" ht="20.05" customHeight="1">
      <c r="B19" s="14"/>
      <c r="C19" s="28">
        <v>4794</v>
      </c>
      <c r="D19" s="23">
        <v>70379</v>
      </c>
      <c r="E19" s="23">
        <f>D19-C19</f>
        <v>65585</v>
      </c>
      <c r="F19" s="23">
        <f>F18+'Cashflow  - Quarterly Cashflow'!D19</f>
        <v>3104</v>
      </c>
      <c r="G19" s="23">
        <v>50316</v>
      </c>
      <c r="H19" s="23">
        <v>20063</v>
      </c>
      <c r="I19" s="23">
        <f>G19+H19-C19-E19</f>
        <v>0</v>
      </c>
      <c r="J19" s="23">
        <f>C19-G19</f>
        <v>-45522</v>
      </c>
      <c r="K19" s="23">
        <f>J19</f>
        <v>-45522</v>
      </c>
    </row>
    <row r="20" ht="20.05" customHeight="1">
      <c r="B20" s="14"/>
      <c r="C20" s="28"/>
      <c r="D20" s="23"/>
      <c r="E20" s="23"/>
      <c r="F20" s="23"/>
      <c r="G20" s="23"/>
      <c r="H20" s="23"/>
      <c r="I20" s="23"/>
      <c r="J20" s="23"/>
      <c r="K20" s="23">
        <f>'Model - Financial model'!F26-'Model - Financial model'!F30-'Model - Financial model'!F31</f>
        <v>-41143.30317536</v>
      </c>
    </row>
  </sheetData>
  <mergeCells count="1">
    <mergeCell ref="B2:K2"/>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sheetPr>
    <pageSetUpPr fitToPage="1"/>
  </sheetPr>
  <dimension ref="A2:D52"/>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8" style="30" customWidth="1"/>
    <col min="2" max="2" width="11.4375" style="30" customWidth="1"/>
    <col min="3" max="4" width="9.49219" style="30" customWidth="1"/>
    <col min="5" max="16384" width="16.3516" style="30" customWidth="1"/>
  </cols>
  <sheetData>
    <row r="1" ht="27.65" customHeight="1">
      <c r="A1" t="s" s="7">
        <v>34</v>
      </c>
      <c r="B1" s="7"/>
      <c r="C1" s="7"/>
      <c r="D1" s="7"/>
    </row>
    <row r="2" ht="20.25" customHeight="1">
      <c r="A2" s="31"/>
      <c r="B2" t="s" s="8">
        <v>36</v>
      </c>
      <c r="C2" t="s" s="8">
        <v>37</v>
      </c>
      <c r="D2" t="s" s="32">
        <v>38</v>
      </c>
    </row>
    <row r="3" ht="20.25" customHeight="1">
      <c r="A3" s="9">
        <v>2017</v>
      </c>
      <c r="B3" s="10"/>
      <c r="C3" s="33">
        <v>39.779999</v>
      </c>
      <c r="D3" s="33"/>
    </row>
    <row r="4" ht="20.05" customHeight="1">
      <c r="A4" s="14"/>
      <c r="B4" s="15">
        <v>135.2248</v>
      </c>
      <c r="C4" s="19">
        <v>42</v>
      </c>
      <c r="D4" s="19"/>
    </row>
    <row r="5" ht="20.05" customHeight="1">
      <c r="A5" s="14"/>
      <c r="B5" s="15">
        <v>112.0903</v>
      </c>
      <c r="C5" s="19">
        <v>43.02</v>
      </c>
      <c r="D5" s="19"/>
    </row>
    <row r="6" ht="20.05" customHeight="1">
      <c r="A6" s="14"/>
      <c r="B6" s="15">
        <v>142.6141</v>
      </c>
      <c r="C6" s="19">
        <v>47.720001</v>
      </c>
      <c r="D6" s="19"/>
    </row>
    <row r="7" ht="20.05" customHeight="1">
      <c r="A7" s="14"/>
      <c r="B7" s="15">
        <v>139.3823</v>
      </c>
      <c r="C7" s="19">
        <v>52.209999</v>
      </c>
      <c r="D7" s="19"/>
    </row>
    <row r="8" ht="20.05" customHeight="1">
      <c r="A8" s="14"/>
      <c r="B8" s="15">
        <v>171.0716</v>
      </c>
      <c r="C8" s="19">
        <v>53.669998</v>
      </c>
      <c r="D8" s="19"/>
    </row>
    <row r="9" ht="20.05" customHeight="1">
      <c r="A9" s="14"/>
      <c r="B9" s="15">
        <v>200.6361</v>
      </c>
      <c r="C9" s="19">
        <v>58.549999</v>
      </c>
      <c r="D9" s="19"/>
    </row>
    <row r="10" ht="20.05" customHeight="1">
      <c r="A10" s="14"/>
      <c r="B10" s="15">
        <v>115.4156</v>
      </c>
      <c r="C10" s="19">
        <v>61.68</v>
      </c>
      <c r="D10" s="19"/>
    </row>
    <row r="11" ht="20.05" customHeight="1">
      <c r="A11" s="14"/>
      <c r="B11" s="15">
        <v>141.7858</v>
      </c>
      <c r="C11" s="19">
        <v>64.029999</v>
      </c>
      <c r="D11" s="19"/>
    </row>
    <row r="12" ht="20.05" customHeight="1">
      <c r="A12" s="14"/>
      <c r="B12" s="15">
        <v>205.4518</v>
      </c>
      <c r="C12" s="19">
        <v>72.55999799999999</v>
      </c>
      <c r="D12" s="19"/>
    </row>
    <row r="13" ht="20.05" customHeight="1">
      <c r="A13" s="14"/>
      <c r="B13" s="15">
        <v>180.2404</v>
      </c>
      <c r="C13" s="19">
        <v>75.730003</v>
      </c>
      <c r="D13" s="19"/>
    </row>
    <row r="14" ht="20.05" customHeight="1">
      <c r="A14" s="14"/>
      <c r="B14" s="15">
        <v>170.762</v>
      </c>
      <c r="C14" s="19">
        <v>73.620003</v>
      </c>
      <c r="D14" s="19"/>
    </row>
    <row r="15" ht="20.05" customHeight="1">
      <c r="A15" s="18">
        <v>2018</v>
      </c>
      <c r="B15" s="15">
        <v>172.7568</v>
      </c>
      <c r="C15" s="19">
        <v>85.31999999999999</v>
      </c>
      <c r="D15" s="19"/>
    </row>
    <row r="16" ht="20.05" customHeight="1">
      <c r="A16" s="14"/>
      <c r="B16" s="15">
        <v>262.2671</v>
      </c>
      <c r="C16" s="19">
        <v>79.410004</v>
      </c>
      <c r="D16" s="19"/>
    </row>
    <row r="17" ht="20.05" customHeight="1">
      <c r="A17" s="14"/>
      <c r="B17" s="15">
        <v>172.8407</v>
      </c>
      <c r="C17" s="19">
        <v>75.870003</v>
      </c>
      <c r="D17" s="19"/>
    </row>
    <row r="18" ht="20.05" customHeight="1">
      <c r="A18" s="14"/>
      <c r="B18" s="15">
        <v>152.6464</v>
      </c>
      <c r="C18" s="19">
        <v>74.610001</v>
      </c>
      <c r="D18" s="19"/>
    </row>
    <row r="19" ht="20.05" customHeight="1">
      <c r="A19" s="14"/>
      <c r="B19" s="15">
        <v>166.5657</v>
      </c>
      <c r="C19" s="19">
        <v>82.06999999999999</v>
      </c>
      <c r="D19" s="19"/>
    </row>
    <row r="20" ht="20.05" customHeight="1">
      <c r="A20" s="14"/>
      <c r="B20" s="15">
        <v>153.8378</v>
      </c>
      <c r="C20" s="19">
        <v>83.269997</v>
      </c>
      <c r="D20" s="19"/>
    </row>
    <row r="21" ht="20.05" customHeight="1">
      <c r="A21" s="14"/>
      <c r="B21" s="15">
        <v>161.5744</v>
      </c>
      <c r="C21" s="19">
        <v>82.139999</v>
      </c>
      <c r="D21" s="19"/>
    </row>
    <row r="22" ht="20.05" customHeight="1">
      <c r="A22" s="14"/>
      <c r="B22" s="15">
        <v>114.3944</v>
      </c>
      <c r="C22" s="19">
        <v>92.33000199999999</v>
      </c>
      <c r="D22" s="19"/>
    </row>
    <row r="23" ht="20.05" customHeight="1">
      <c r="A23" s="14"/>
      <c r="B23" s="15">
        <v>159.3762</v>
      </c>
      <c r="C23" s="19">
        <v>87.839996</v>
      </c>
      <c r="D23" s="19"/>
    </row>
    <row r="24" ht="20.05" customHeight="1">
      <c r="A24" s="14"/>
      <c r="B24" s="15">
        <v>281.8122</v>
      </c>
      <c r="C24" s="19">
        <v>84.19000200000001</v>
      </c>
      <c r="D24" s="19"/>
    </row>
    <row r="25" ht="20.05" customHeight="1">
      <c r="A25" s="14"/>
      <c r="B25" s="15">
        <v>155.8931</v>
      </c>
      <c r="C25" s="19">
        <v>85.80999799999999</v>
      </c>
      <c r="D25" s="19"/>
    </row>
    <row r="26" ht="20.05" customHeight="1">
      <c r="A26" s="14"/>
      <c r="B26" s="15">
        <v>191.7031</v>
      </c>
      <c r="C26" s="19">
        <v>84.089996</v>
      </c>
      <c r="D26" s="19"/>
    </row>
    <row r="27" ht="20.05" customHeight="1">
      <c r="A27" s="18">
        <v>2019</v>
      </c>
      <c r="B27" s="15">
        <v>193.9054</v>
      </c>
      <c r="C27" s="19">
        <v>88.760002</v>
      </c>
      <c r="D27" s="19"/>
    </row>
    <row r="28" ht="20.05" customHeight="1">
      <c r="A28" s="14"/>
      <c r="B28" s="15">
        <v>155.6246</v>
      </c>
      <c r="C28" s="19">
        <v>98.06999999999999</v>
      </c>
      <c r="D28" s="19"/>
    </row>
    <row r="29" ht="20.05" customHeight="1">
      <c r="A29" s="14"/>
      <c r="B29" s="15">
        <v>124.3412</v>
      </c>
      <c r="C29" s="19">
        <v>103.839996</v>
      </c>
      <c r="D29" s="19"/>
    </row>
    <row r="30" ht="20.05" customHeight="1">
      <c r="A30" s="14"/>
      <c r="B30" s="15">
        <v>144.3775</v>
      </c>
      <c r="C30" s="19">
        <v>112.769997</v>
      </c>
      <c r="D30" s="19"/>
    </row>
    <row r="31" ht="20.05" customHeight="1">
      <c r="A31" s="14"/>
      <c r="B31" s="15">
        <v>100.4257</v>
      </c>
      <c r="C31" s="19">
        <v>109.75</v>
      </c>
      <c r="D31" s="19"/>
    </row>
    <row r="32" ht="20.05" customHeight="1">
      <c r="A32" s="14"/>
      <c r="B32" s="15">
        <v>117.0803</v>
      </c>
      <c r="C32" s="19">
        <v>114.459999</v>
      </c>
      <c r="D32" s="19"/>
    </row>
    <row r="33" ht="20.05" customHeight="1">
      <c r="A33" s="14"/>
      <c r="B33" s="15">
        <v>133.3924</v>
      </c>
      <c r="C33" s="19">
        <v>110.400002</v>
      </c>
      <c r="D33" s="20"/>
    </row>
    <row r="34" ht="20.05" customHeight="1">
      <c r="A34" s="14"/>
      <c r="B34" s="15">
        <v>129.304</v>
      </c>
      <c r="C34" s="19">
        <v>109.050003</v>
      </c>
      <c r="D34" s="20"/>
    </row>
    <row r="35" ht="20.05" customHeight="1">
      <c r="A35" s="14"/>
      <c r="B35" s="15">
        <v>134.9419</v>
      </c>
      <c r="C35" s="19">
        <v>103.589996</v>
      </c>
      <c r="D35" s="20"/>
    </row>
    <row r="36" ht="20.05" customHeight="1">
      <c r="A36" s="14"/>
      <c r="B36" s="15">
        <v>147.4004</v>
      </c>
      <c r="C36" s="19">
        <v>104.099998</v>
      </c>
      <c r="D36" s="20"/>
    </row>
    <row r="37" ht="20.05" customHeight="1">
      <c r="A37" s="14"/>
      <c r="B37" s="15">
        <v>136.5535</v>
      </c>
      <c r="C37" s="19">
        <v>108.010002</v>
      </c>
      <c r="D37" s="20"/>
    </row>
    <row r="38" ht="20.05" customHeight="1">
      <c r="A38" s="14"/>
      <c r="B38" s="15">
        <v>120.7064</v>
      </c>
      <c r="C38" s="19">
        <v>108.169998</v>
      </c>
      <c r="D38" s="20"/>
    </row>
    <row r="39" ht="20.05" customHeight="1">
      <c r="A39" s="18">
        <v>2020</v>
      </c>
      <c r="B39" s="15">
        <v>154.7579</v>
      </c>
      <c r="C39" s="19">
        <v>113.889999</v>
      </c>
      <c r="D39" s="20"/>
    </row>
    <row r="40" ht="20.05" customHeight="1">
      <c r="A40" s="14"/>
      <c r="B40" s="15">
        <v>158.5732</v>
      </c>
      <c r="C40" s="19">
        <v>107.989998</v>
      </c>
      <c r="D40" s="20"/>
    </row>
    <row r="41" ht="20.05" customHeight="1">
      <c r="A41" s="14"/>
      <c r="B41" s="15">
        <v>254.3072</v>
      </c>
      <c r="C41" s="19">
        <v>95.739998</v>
      </c>
      <c r="D41" s="20"/>
    </row>
    <row r="42" ht="20.05" customHeight="1">
      <c r="A42" s="14"/>
      <c r="B42" s="15">
        <v>188.8711</v>
      </c>
      <c r="C42" s="19">
        <v>123</v>
      </c>
      <c r="D42" s="20"/>
    </row>
    <row r="43" ht="20.05" customHeight="1">
      <c r="A43" s="14"/>
      <c r="B43" s="15">
        <v>209.5391</v>
      </c>
      <c r="C43" s="19">
        <v>155.009995</v>
      </c>
      <c r="D43" s="20"/>
    </row>
    <row r="44" ht="20.05" customHeight="1">
      <c r="A44" s="14"/>
      <c r="B44" s="15">
        <v>146.0856</v>
      </c>
      <c r="C44" s="19">
        <v>174.229996</v>
      </c>
      <c r="D44" s="20"/>
    </row>
    <row r="45" ht="20.05" customHeight="1">
      <c r="A45" s="14"/>
      <c r="B45" s="15">
        <v>162.2896</v>
      </c>
      <c r="C45" s="19">
        <v>196.070007</v>
      </c>
      <c r="D45" s="20"/>
    </row>
    <row r="46" ht="20.05" customHeight="1">
      <c r="A46" s="14"/>
      <c r="B46" s="15">
        <v>130.7169</v>
      </c>
      <c r="C46" s="19">
        <v>204.139999</v>
      </c>
      <c r="D46" s="20"/>
    </row>
    <row r="47" ht="20.05" customHeight="1">
      <c r="A47" s="14"/>
      <c r="B47" s="15">
        <v>187.8894</v>
      </c>
      <c r="C47" s="19">
        <v>197.029999</v>
      </c>
      <c r="D47" s="20"/>
    </row>
    <row r="48" ht="20.05" customHeight="1">
      <c r="A48" s="14"/>
      <c r="B48" s="15">
        <v>160.3706</v>
      </c>
      <c r="C48" s="19">
        <v>186.130005</v>
      </c>
      <c r="D48" s="20"/>
    </row>
    <row r="49" ht="20.05" customHeight="1">
      <c r="A49" s="14"/>
      <c r="B49" s="34">
        <v>244.3443</v>
      </c>
      <c r="C49" s="35">
        <v>214.119995</v>
      </c>
      <c r="D49" s="20"/>
    </row>
    <row r="50" ht="20.05" customHeight="1">
      <c r="A50" s="14"/>
      <c r="B50" s="34">
        <v>140.4937</v>
      </c>
      <c r="C50" s="35">
        <v>234.199997</v>
      </c>
      <c r="D50" s="20"/>
    </row>
    <row r="51" ht="20.05" customHeight="1">
      <c r="A51" s="18">
        <v>2021</v>
      </c>
      <c r="B51" s="34">
        <v>150.8356</v>
      </c>
      <c r="C51" s="35">
        <v>234.309998</v>
      </c>
      <c r="D51" s="20"/>
    </row>
    <row r="52" ht="20.05" customHeight="1">
      <c r="A52" s="14"/>
      <c r="B52" s="34">
        <v>176.5434</v>
      </c>
      <c r="C52" s="35">
        <v>269.440002</v>
      </c>
      <c r="D52" s="20"/>
    </row>
  </sheetData>
  <mergeCells count="1">
    <mergeCell ref="A1:D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6.xml><?xml version="1.0" encoding="utf-8"?>
<worksheet xmlns:r="http://schemas.openxmlformats.org/officeDocument/2006/relationships" xmlns="http://schemas.openxmlformats.org/spreadsheetml/2006/main">
  <sheetPr>
    <pageSetUpPr fitToPage="1"/>
  </sheetPr>
  <dimension ref="B3:F33"/>
  <sheetViews>
    <sheetView workbookViewId="0" showGridLines="0" defaultGridColor="1">
      <pane topLeftCell="C4" xSplit="2" ySplit="3" activePane="bottomRight" state="frozen"/>
    </sheetView>
  </sheetViews>
  <sheetFormatPr defaultColWidth="16.3333" defaultRowHeight="19.9" customHeight="1" outlineLevelRow="0" outlineLevelCol="0"/>
  <cols>
    <col min="1" max="1" width="6.70312" style="36" customWidth="1"/>
    <col min="2" max="2" width="19.2344" style="36" customWidth="1"/>
    <col min="3" max="6" width="7.89844" style="36" customWidth="1"/>
    <col min="7" max="16384" width="16.3516" style="36" customWidth="1"/>
  </cols>
  <sheetData>
    <row r="1" ht="55.55" customHeight="1"/>
    <row r="2" ht="27.65" customHeight="1">
      <c r="B2" t="s" s="7">
        <v>40</v>
      </c>
      <c r="C2" s="7"/>
      <c r="D2" s="7"/>
      <c r="E2" s="7"/>
      <c r="F2" s="7"/>
    </row>
    <row r="3" ht="20.25" customHeight="1">
      <c r="B3" t="s" s="32">
        <v>42</v>
      </c>
      <c r="C3" t="s" s="8">
        <v>43</v>
      </c>
      <c r="D3" t="s" s="8">
        <v>44</v>
      </c>
      <c r="E3" t="s" s="8">
        <v>45</v>
      </c>
      <c r="F3" t="s" s="32">
        <v>46</v>
      </c>
    </row>
    <row r="4" ht="20.25" customHeight="1">
      <c r="B4" t="s" s="37">
        <v>12</v>
      </c>
      <c r="C4" s="38"/>
      <c r="D4" s="12"/>
      <c r="E4" s="12"/>
      <c r="F4" s="12"/>
    </row>
    <row r="5" ht="20.05" customHeight="1">
      <c r="B5" t="s" s="39">
        <v>47</v>
      </c>
      <c r="C5" s="40">
        <v>-0.01</v>
      </c>
      <c r="D5" s="41">
        <v>0.04</v>
      </c>
      <c r="E5" s="41">
        <v>0.03</v>
      </c>
      <c r="F5" s="41">
        <v>0.1</v>
      </c>
    </row>
    <row r="6" ht="20.05" customHeight="1">
      <c r="B6" t="s" s="39">
        <v>4</v>
      </c>
      <c r="C6" s="15">
        <f>'Sales - Quarterly sales'!C19*(1+C5)</f>
        <v>6054.84</v>
      </c>
      <c r="D6" s="23">
        <f>C6*(1+D5)</f>
        <v>6297.0336</v>
      </c>
      <c r="E6" s="23">
        <f>D6*(1+E5)</f>
        <v>6485.944608</v>
      </c>
      <c r="F6" s="23">
        <f>E6*(1+F5)</f>
        <v>7134.5390688</v>
      </c>
    </row>
    <row r="7" ht="20.05" customHeight="1">
      <c r="B7" t="s" s="39">
        <v>11</v>
      </c>
      <c r="C7" s="42">
        <f>AVERAGE('Sales - Quarterly sales'!F19)</f>
        <v>-0.692936559843035</v>
      </c>
      <c r="D7" s="21">
        <f>C7</f>
        <v>-0.692936559843035</v>
      </c>
      <c r="E7" s="21">
        <f>D7</f>
        <v>-0.692936559843035</v>
      </c>
      <c r="F7" s="21">
        <f>E7</f>
        <v>-0.692936559843035</v>
      </c>
    </row>
    <row r="8" ht="20.05" customHeight="1">
      <c r="B8" t="s" s="39">
        <v>48</v>
      </c>
      <c r="C8" s="28">
        <f>C6*C7</f>
        <v>-4195.62</v>
      </c>
      <c r="D8" s="23">
        <f>D6*D7</f>
        <v>-4363.4448</v>
      </c>
      <c r="E8" s="23">
        <f>E6*E7</f>
        <v>-4494.348144</v>
      </c>
      <c r="F8" s="23">
        <f>F6*F7</f>
        <v>-4943.7829584</v>
      </c>
    </row>
    <row r="9" ht="20.05" customHeight="1">
      <c r="B9" t="s" s="39">
        <v>49</v>
      </c>
      <c r="C9" s="28">
        <f>C6+C8</f>
        <v>1859.22</v>
      </c>
      <c r="D9" s="23">
        <f>D6+D8</f>
        <v>1933.5888</v>
      </c>
      <c r="E9" s="23">
        <f>E6+E8</f>
        <v>1991.596464</v>
      </c>
      <c r="F9" s="23">
        <f>F6+F8</f>
        <v>2190.7561104</v>
      </c>
    </row>
    <row r="10" ht="20.05" customHeight="1">
      <c r="B10" t="s" s="39">
        <v>50</v>
      </c>
      <c r="C10" s="28">
        <f>AVERAGE('Cashflow  - Quarterly Cashflow'!F19)</f>
        <v>-226</v>
      </c>
      <c r="D10" s="23">
        <f>C10</f>
        <v>-226</v>
      </c>
      <c r="E10" s="23">
        <f>D10</f>
        <v>-226</v>
      </c>
      <c r="F10" s="23">
        <f>E10</f>
        <v>-226</v>
      </c>
    </row>
    <row r="11" ht="20.05" customHeight="1">
      <c r="B11" t="s" s="39">
        <v>51</v>
      </c>
      <c r="C11" s="28">
        <f>C12+C13+C15</f>
        <v>-1633.22</v>
      </c>
      <c r="D11" s="23">
        <f>D12+D13+D15</f>
        <v>-1707.5888</v>
      </c>
      <c r="E11" s="23">
        <f>E12+E13+E15</f>
        <v>-1765.596464</v>
      </c>
      <c r="F11" s="23">
        <f>F12+F13+F15</f>
        <v>-1964.7561104</v>
      </c>
    </row>
    <row r="12" ht="20.05" customHeight="1">
      <c r="B12" t="s" s="39">
        <v>29</v>
      </c>
      <c r="C12" s="28">
        <f>-('Balance sheet - Balance sheet'!G19)/20</f>
        <v>-2515.8</v>
      </c>
      <c r="D12" s="23">
        <f>-C30/20</f>
        <v>-2390.01</v>
      </c>
      <c r="E12" s="23">
        <f>-D30/20</f>
        <v>-2270.5095</v>
      </c>
      <c r="F12" s="23">
        <f>-E30/20</f>
        <v>-2156.984025</v>
      </c>
    </row>
    <row r="13" ht="20.05" customHeight="1">
      <c r="B13" t="s" s="39">
        <v>52</v>
      </c>
      <c r="C13" s="28">
        <f>IF(C24&gt;0,-C24*0.4,0)</f>
        <v>-619.288</v>
      </c>
      <c r="D13" s="23">
        <f>IF(D24&gt;0,-D24*0.4,0)</f>
        <v>-649.03552</v>
      </c>
      <c r="E13" s="23">
        <f>IF(E24&gt;0,-E24*0.4,0)</f>
        <v>-672.2385856</v>
      </c>
      <c r="F13" s="23">
        <f>IF(F24&gt;0,-F24*0.4,0)</f>
        <v>-751.90244416</v>
      </c>
    </row>
    <row r="14" ht="32.05" customHeight="1">
      <c r="B14" t="s" s="39">
        <v>53</v>
      </c>
      <c r="C14" s="28">
        <f>C9+C10+C12+C13</f>
        <v>-1501.868</v>
      </c>
      <c r="D14" s="23">
        <f>D9+D10+D12+D13</f>
        <v>-1331.45672</v>
      </c>
      <c r="E14" s="23">
        <f>E9+E10+E12+E13</f>
        <v>-1177.1516216</v>
      </c>
      <c r="F14" s="23">
        <f>F9+F10+F12+F13</f>
        <v>-944.13035876</v>
      </c>
    </row>
    <row r="15" ht="20.05" customHeight="1">
      <c r="B15" t="s" s="39">
        <v>54</v>
      </c>
      <c r="C15" s="28">
        <f>-MIN(0,C14)</f>
        <v>1501.868</v>
      </c>
      <c r="D15" s="23">
        <f>-MIN(C31,D14)</f>
        <v>1331.45672</v>
      </c>
      <c r="E15" s="23">
        <f>-MIN(D31,E14)</f>
        <v>1177.1516216</v>
      </c>
      <c r="F15" s="23">
        <f>-MIN(E31,F14)</f>
        <v>944.13035876</v>
      </c>
    </row>
    <row r="16" ht="20.05" customHeight="1">
      <c r="B16" t="s" s="39">
        <v>55</v>
      </c>
      <c r="C16" s="28">
        <f>'Balance sheet - Balance sheet'!C19</f>
        <v>4794</v>
      </c>
      <c r="D16" s="23">
        <f>C18</f>
        <v>4794</v>
      </c>
      <c r="E16" s="23">
        <f>D18</f>
        <v>4794</v>
      </c>
      <c r="F16" s="23">
        <f>E18</f>
        <v>4794</v>
      </c>
    </row>
    <row r="17" ht="20.05" customHeight="1">
      <c r="B17" t="s" s="39">
        <v>56</v>
      </c>
      <c r="C17" s="28">
        <f>C9+C10+C11</f>
        <v>0</v>
      </c>
      <c r="D17" s="23">
        <f>D9+D10+D11</f>
        <v>0</v>
      </c>
      <c r="E17" s="23">
        <f>E9+E10+E11</f>
        <v>0</v>
      </c>
      <c r="F17" s="23">
        <f>F9+F10+F11</f>
        <v>0</v>
      </c>
    </row>
    <row r="18" ht="20.05" customHeight="1">
      <c r="B18" t="s" s="39">
        <v>57</v>
      </c>
      <c r="C18" s="28">
        <f>C16+C17</f>
        <v>4794</v>
      </c>
      <c r="D18" s="23">
        <f>D16+D17</f>
        <v>4794</v>
      </c>
      <c r="E18" s="23">
        <f>E16+E17</f>
        <v>4794</v>
      </c>
      <c r="F18" s="23">
        <f>F16+F17</f>
        <v>4794</v>
      </c>
    </row>
    <row r="19" ht="20.05" customHeight="1">
      <c r="B19" t="s" s="43">
        <v>58</v>
      </c>
      <c r="C19" s="22"/>
      <c r="D19" s="20"/>
      <c r="E19" s="19">
        <f>SUM('Sales - Quarterly sales'!C16:C19)</f>
        <v>21454</v>
      </c>
      <c r="F19" s="19">
        <f>SUM(C20:F20)</f>
        <v>25972.3572768</v>
      </c>
    </row>
    <row r="20" ht="20.05" customHeight="1">
      <c r="B20" t="s" s="39">
        <v>4</v>
      </c>
      <c r="C20" s="15">
        <f>C6</f>
        <v>6054.84</v>
      </c>
      <c r="D20" s="23">
        <f>D6</f>
        <v>6297.0336</v>
      </c>
      <c r="E20" s="23">
        <f>E6</f>
        <v>6485.944608</v>
      </c>
      <c r="F20" s="23">
        <f>F6</f>
        <v>7134.5390688</v>
      </c>
    </row>
    <row r="21" ht="20.05" customHeight="1">
      <c r="B21" t="s" s="39">
        <v>16</v>
      </c>
      <c r="C21" s="28">
        <f>-AVERAGE('Cashflow  - Quarterly Cashflow'!D19)</f>
        <v>-301</v>
      </c>
      <c r="D21" s="23">
        <f>C21</f>
        <v>-301</v>
      </c>
      <c r="E21" s="23">
        <f>D21</f>
        <v>-301</v>
      </c>
      <c r="F21" s="23">
        <f>E21</f>
        <v>-301</v>
      </c>
    </row>
    <row r="22" ht="20.05" customHeight="1">
      <c r="B22" t="s" s="39">
        <v>48</v>
      </c>
      <c r="C22" s="28">
        <f>C8</f>
        <v>-4195.62</v>
      </c>
      <c r="D22" s="23">
        <f>D8</f>
        <v>-4363.4448</v>
      </c>
      <c r="E22" s="23">
        <f>E8</f>
        <v>-4494.348144</v>
      </c>
      <c r="F22" s="23">
        <f>F8</f>
        <v>-4943.7829584</v>
      </c>
    </row>
    <row r="23" ht="20.05" customHeight="1">
      <c r="B23" t="s" s="39">
        <v>17</v>
      </c>
      <c r="C23" s="28">
        <f>-AVERAGE('Cashflow  - Quarterly Cashflow'!E19)</f>
        <v>-10</v>
      </c>
      <c r="D23" s="23">
        <f>C23</f>
        <v>-10</v>
      </c>
      <c r="E23" s="23">
        <f>D23</f>
        <v>-10</v>
      </c>
      <c r="F23" s="23">
        <f>E23</f>
        <v>-10</v>
      </c>
    </row>
    <row r="24" ht="20.05" customHeight="1">
      <c r="B24" t="s" s="39">
        <v>59</v>
      </c>
      <c r="C24" s="28">
        <f>SUM(C20:C23)</f>
        <v>1548.22</v>
      </c>
      <c r="D24" s="23">
        <f>SUM(D20:D23)</f>
        <v>1622.5888</v>
      </c>
      <c r="E24" s="23">
        <f>SUM(E20:E23)</f>
        <v>1680.596464</v>
      </c>
      <c r="F24" s="23">
        <f>SUM(F20:F23)</f>
        <v>1879.7561104</v>
      </c>
    </row>
    <row r="25" ht="20.05" customHeight="1">
      <c r="B25" t="s" s="44">
        <v>24</v>
      </c>
      <c r="C25" s="45"/>
      <c r="D25" s="20"/>
      <c r="E25" s="23">
        <f>SUM('Cashflow  - Quarterly Cashflow'!C16:C19)</f>
        <v>4202</v>
      </c>
      <c r="F25" s="23">
        <f>SUM(C24:F24)</f>
        <v>6731.1613744</v>
      </c>
    </row>
    <row r="26" ht="20.05" customHeight="1">
      <c r="B26" t="s" s="39">
        <v>26</v>
      </c>
      <c r="C26" s="28">
        <f>C18</f>
        <v>4794</v>
      </c>
      <c r="D26" s="23">
        <f>D18</f>
        <v>4794</v>
      </c>
      <c r="E26" s="23">
        <f>E18</f>
        <v>4794</v>
      </c>
      <c r="F26" s="23">
        <f>F18</f>
        <v>4794</v>
      </c>
    </row>
    <row r="27" ht="20.05" customHeight="1">
      <c r="B27" t="s" s="39">
        <v>60</v>
      </c>
      <c r="C27" s="28">
        <f>'Balance sheet - Balance sheet'!F19+'Balance sheet - Balance sheet'!E19-C10</f>
        <v>68915</v>
      </c>
      <c r="D27" s="23">
        <f>C27-D10</f>
        <v>69141</v>
      </c>
      <c r="E27" s="23">
        <f>D27-E10</f>
        <v>69367</v>
      </c>
      <c r="F27" s="23">
        <f>E27-F10</f>
        <v>69593</v>
      </c>
    </row>
    <row r="28" ht="20.05" customHeight="1">
      <c r="B28" t="s" s="39">
        <v>16</v>
      </c>
      <c r="C28" s="28">
        <f>'Balance sheet - Balance sheet'!F19-C21-C23</f>
        <v>3415</v>
      </c>
      <c r="D28" s="23">
        <f>C28-D21-D23</f>
        <v>3726</v>
      </c>
      <c r="E28" s="23">
        <f>D28-E21-E23</f>
        <v>4037</v>
      </c>
      <c r="F28" s="23">
        <f>E28-F21-F23</f>
        <v>4348</v>
      </c>
    </row>
    <row r="29" ht="20.05" customHeight="1">
      <c r="B29" t="s" s="39">
        <v>61</v>
      </c>
      <c r="C29" s="28">
        <f>C27-C28</f>
        <v>65500</v>
      </c>
      <c r="D29" s="23">
        <f>D27-D28</f>
        <v>65415</v>
      </c>
      <c r="E29" s="23">
        <f>E27-E28</f>
        <v>65330</v>
      </c>
      <c r="F29" s="23">
        <f>F27-F28</f>
        <v>65245</v>
      </c>
    </row>
    <row r="30" ht="20.05" customHeight="1">
      <c r="B30" t="s" s="39">
        <v>29</v>
      </c>
      <c r="C30" s="28">
        <f>'Balance sheet - Balance sheet'!G19+C12</f>
        <v>47800.2</v>
      </c>
      <c r="D30" s="23">
        <f>C30+D12</f>
        <v>45410.19</v>
      </c>
      <c r="E30" s="23">
        <f>D30+E12</f>
        <v>43139.6805</v>
      </c>
      <c r="F30" s="23">
        <f>E30+F12</f>
        <v>40982.696475</v>
      </c>
    </row>
    <row r="31" ht="20.05" customHeight="1">
      <c r="B31" t="s" s="39">
        <v>54</v>
      </c>
      <c r="C31" s="28">
        <f>C15</f>
        <v>1501.868</v>
      </c>
      <c r="D31" s="23">
        <f>C31+D15</f>
        <v>2833.32472</v>
      </c>
      <c r="E31" s="23">
        <f>D31+E15</f>
        <v>4010.4763416</v>
      </c>
      <c r="F31" s="23">
        <f>E31+F15</f>
        <v>4954.60670036</v>
      </c>
    </row>
    <row r="32" ht="20.05" customHeight="1">
      <c r="B32" t="s" s="39">
        <v>30</v>
      </c>
      <c r="C32" s="28">
        <f>'Balance sheet - Balance sheet'!H19+C24+C13</f>
        <v>20991.932</v>
      </c>
      <c r="D32" s="23">
        <f>C32+D24+D13</f>
        <v>21965.48528</v>
      </c>
      <c r="E32" s="23">
        <f>D32+E24+E13</f>
        <v>22973.8431584</v>
      </c>
      <c r="F32" s="23">
        <f>E32+F24+F13</f>
        <v>24101.69682464</v>
      </c>
    </row>
    <row r="33" ht="20.05" customHeight="1">
      <c r="B33" t="s" s="39">
        <v>31</v>
      </c>
      <c r="C33" s="15">
        <f>C30+C31+C32-C26-C29</f>
        <v>0</v>
      </c>
      <c r="D33" s="19">
        <f>D30+D31+D32-D26-D29</f>
        <v>0</v>
      </c>
      <c r="E33" s="19">
        <f>E30+E31+E32-E26-E29</f>
        <v>0</v>
      </c>
      <c r="F33" s="19">
        <f>F30+F31+F32-F26-F29</f>
        <v>0</v>
      </c>
    </row>
  </sheetData>
  <mergeCells count="1">
    <mergeCell ref="B2:F2"/>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dimension ref="B3:D18"/>
  <sheetViews>
    <sheetView workbookViewId="0" showGridLines="0" defaultGridColor="1">
      <pane topLeftCell="C4" xSplit="2" ySplit="3" activePane="bottomRight" state="frozen"/>
    </sheetView>
  </sheetViews>
  <sheetFormatPr defaultColWidth="16.3333" defaultRowHeight="19.9" customHeight="1" outlineLevelRow="0" outlineLevelCol="0"/>
  <cols>
    <col min="1" max="1" width="7.60156" style="46" customWidth="1"/>
    <col min="2" max="2" width="13.2656" style="46" customWidth="1"/>
    <col min="3" max="4" width="7.39844" style="46" customWidth="1"/>
    <col min="5" max="16384" width="16.3516" style="46" customWidth="1"/>
  </cols>
  <sheetData>
    <row r="1" ht="24.4" customHeight="1"/>
    <row r="2" ht="27.65" customHeight="1">
      <c r="B2" t="s" s="7">
        <v>63</v>
      </c>
      <c r="C2" s="7"/>
      <c r="D2" s="7"/>
    </row>
    <row r="3" ht="20.25" customHeight="1">
      <c r="B3" t="s" s="32">
        <v>42</v>
      </c>
      <c r="C3" s="31"/>
      <c r="D3" s="31"/>
    </row>
    <row r="4" ht="20.25" customHeight="1">
      <c r="B4" t="s" s="47">
        <v>22</v>
      </c>
      <c r="C4" s="10">
        <v>5912</v>
      </c>
      <c r="D4" s="27">
        <f>SUM('Model - Financial model'!C9:F10)</f>
        <v>7071.1613744</v>
      </c>
    </row>
    <row r="5" ht="20.05" customHeight="1">
      <c r="B5" t="s" s="39">
        <v>62</v>
      </c>
      <c r="C5" s="48">
        <v>0.016</v>
      </c>
      <c r="D5" s="49">
        <v>0.016</v>
      </c>
    </row>
    <row r="6" ht="20.05" customHeight="1">
      <c r="B6" t="s" s="39">
        <v>65</v>
      </c>
      <c r="C6" s="15">
        <f>C4/C5</f>
        <v>369500</v>
      </c>
      <c r="D6" s="19">
        <f>D4/D5</f>
        <v>441947.5859</v>
      </c>
    </row>
    <row r="7" ht="20.05" customHeight="1">
      <c r="B7" t="s" s="39">
        <v>66</v>
      </c>
      <c r="C7" s="45">
        <v>1</v>
      </c>
      <c r="D7" s="50">
        <v>0.85</v>
      </c>
    </row>
    <row r="8" ht="20.05" customHeight="1">
      <c r="B8" t="s" s="39">
        <v>67</v>
      </c>
      <c r="C8" s="15">
        <f>C6*C7</f>
        <v>369500</v>
      </c>
      <c r="D8" s="19">
        <f>D6*D7</f>
        <v>375655.448015</v>
      </c>
    </row>
    <row r="9" ht="20.05" customHeight="1">
      <c r="B9" t="s" s="39">
        <v>68</v>
      </c>
      <c r="C9" s="51">
        <f t="shared" si="5" ref="C9:D9">274400/234.2</f>
        <v>1171.648163962430</v>
      </c>
      <c r="D9" s="52">
        <f t="shared" si="5"/>
        <v>1171.648163962430</v>
      </c>
    </row>
    <row r="10" ht="20.05" customHeight="1">
      <c r="B10" t="s" s="39">
        <v>69</v>
      </c>
      <c r="C10" s="51">
        <f>C8/C9</f>
        <v>315.367711370261</v>
      </c>
      <c r="D10" s="52">
        <f>D8/D9</f>
        <v>320.621377278107</v>
      </c>
    </row>
    <row r="11" ht="20.05" customHeight="1">
      <c r="B11" t="s" s="39">
        <v>70</v>
      </c>
      <c r="C11" s="15">
        <f>C9*'Share price - MCD'!C50</f>
        <v>274399.996485057</v>
      </c>
      <c r="D11" s="19">
        <f>D9*'Share price - MCD'!C52</f>
        <v>315688.883641333</v>
      </c>
    </row>
    <row r="12" ht="20.05" customHeight="1">
      <c r="B12" t="s" s="39">
        <v>71</v>
      </c>
      <c r="C12" s="53"/>
      <c r="D12" s="54">
        <f>D11/'Model - Financial model'!F19</f>
        <v>12.154802903598</v>
      </c>
    </row>
    <row r="13" ht="20.05" customHeight="1">
      <c r="B13" t="s" s="39">
        <v>72</v>
      </c>
      <c r="C13" s="53"/>
      <c r="D13" s="54">
        <f>D11/('Model - Financial model'!E26+'Model - Financial model'!E27+'Model - Financial model'!E29)</f>
        <v>2.26314875971448</v>
      </c>
    </row>
    <row r="14" ht="20.05" customHeight="1">
      <c r="B14" t="s" s="39">
        <v>73</v>
      </c>
      <c r="C14" s="55"/>
      <c r="D14" s="56">
        <f>D11/'Model - Financial model'!F32</f>
        <v>13.0982015888024</v>
      </c>
    </row>
    <row r="15" ht="20.05" customHeight="1">
      <c r="B15" t="s" s="39">
        <v>74</v>
      </c>
      <c r="C15" s="57"/>
      <c r="D15" s="58">
        <f>'Model - Financial model'!F25/'Model - Financial model'!F32</f>
        <v>0.279281638275298</v>
      </c>
    </row>
    <row r="16" ht="20.05" customHeight="1">
      <c r="B16" t="s" s="39">
        <v>10</v>
      </c>
      <c r="C16" s="57"/>
      <c r="D16" s="58">
        <f>'Model - Financial model'!F19/'Model - Financial model'!E19-1</f>
        <v>0.210606752903887</v>
      </c>
    </row>
    <row r="17" ht="20.05" customHeight="1">
      <c r="B17" t="s" s="39">
        <v>75</v>
      </c>
      <c r="C17" s="57"/>
      <c r="D17" s="58">
        <f>'Model - Financial model'!F25/'Model - Financial model'!E25-1</f>
        <v>0.601894663112803</v>
      </c>
    </row>
    <row r="18" ht="20.05" customHeight="1">
      <c r="B18" t="s" s="39">
        <v>76</v>
      </c>
      <c r="C18" s="57"/>
      <c r="D18" s="58">
        <f>-('Model - Financial model'!C13+'Model - Financial model'!D13+'Model - Financial model'!E13+'Model - Financial model'!F13)/D11</f>
        <v>0.008528854480726719</v>
      </c>
    </row>
  </sheetData>
  <mergeCells count="1">
    <mergeCell ref="B2:D2"/>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