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<sst xmlns="http://schemas.openxmlformats.org/spreadsheetml/2006/main" uniqueCount="56">
  <si>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</si>
  <si>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</si>
  <si>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2021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</si>
  <si>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</si>
  <si>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</si>
  <si>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</si>
  <si>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</si>
  <si>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</si>
  <si>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</si>
  <si>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</si>
  <si>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</si>
  <si>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</si>
  <si>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</si>
  <si>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</si>
  <si>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</si>
  <si>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</si>
  <si>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</si>
  <si>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</si>
  <si>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</si>
  <si>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</si>
  <si>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</si>
  <si>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</si>
  <si>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</si>
  <si>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</si>
  <si>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</si>
  <si>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</si>
  <si>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</si>
  <si>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</si>
  <si>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</si>
  <si>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</si>
  <si>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</si>
  <si>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</si>
  <si>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</si>
  <si>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</si>
  <si>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</si>
  <si>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</si>
  <si>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</si>
  <si>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</si>
  <si>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</si>
  <si>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</si>
  <si>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</si>
  <si>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</si>
  <si>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</si>
  <si>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Non cash costs</t>
  </si>
  <si>
    <t>Profit</t>
  </si>
  <si>
    <t xml:space="preserve">Sales growth </t>
  </si>
  <si>
    <t>Costs</t>
  </si>
  <si>
    <t>Cashflow costs</t>
  </si>
  <si>
    <t>Receipts</t>
  </si>
  <si>
    <t>Capex</t>
  </si>
  <si>
    <t xml:space="preserve">Free cashflow </t>
  </si>
  <si>
    <t>Cash</t>
  </si>
  <si>
    <t>Assets</t>
  </si>
  <si>
    <t>Check</t>
  </si>
  <si>
    <t>Share price</t>
  </si>
  <si>
    <t>PTRO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</si>
</sst>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.0_);[Red]\(0.0\)"/>
    <numFmt numFmtId="60" formatCode="0.0"/>
    <numFmt numFmtId="61" formatCode="0.0%"/>
    <numFmt numFmtId="62" formatCode="#,##0.0_);[Red]\(#,##0.0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618835</xdr:colOff>
      <xdr:row>1</xdr:row>
      <xdr:rowOff>12453</xdr:rowOff>
    </xdr:from>
    <xdr:to>
      <xdr:col>12</xdr:col>
      <xdr:colOff>337315</xdr:colOff>
      <xdr:row>46</xdr:row>
      <xdr:rowOff>153382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43135" y="363608"/>
          <a:ext cx="8430681" cy="116045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7656" style="1" customWidth="1"/>
    <col min="2" max="5" width="9.10938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4">
        <v>2</v>
      </c>
      <c r="C2" s="5"/>
      <c r="D2" s="5"/>
      <c r="E2" s="6"/>
    </row>
    <row r="3" ht="20.25" customHeight="1">
      <c r="A3" t="s" s="7">
        <v>3</v>
      </c>
      <c r="B3" s="8">
        <f>AVERAGE('Sales'!G23:G26)</f>
        <v>0.102965501892837</v>
      </c>
      <c r="C3" s="9"/>
      <c r="D3" s="9"/>
      <c r="E3" s="10">
        <f>AVERAGE(B4:E4)</f>
        <v>0.0425</v>
      </c>
    </row>
    <row r="4" ht="20.05" customHeight="1">
      <c r="A4" t="s" s="11">
        <v>4</v>
      </c>
      <c r="B4" s="12">
        <v>0.07000000000000001</v>
      </c>
      <c r="C4" s="13">
        <v>-0.01</v>
      </c>
      <c r="D4" s="13">
        <v>0.05</v>
      </c>
      <c r="E4" s="13">
        <v>0.06</v>
      </c>
    </row>
    <row r="5" ht="20.05" customHeight="1">
      <c r="A5" t="s" s="11">
        <v>5</v>
      </c>
      <c r="B5" s="14">
        <f>'Sales'!C26*(1+B4)</f>
        <v>115.881</v>
      </c>
      <c r="C5" s="15">
        <f>B5*(1+C4)</f>
        <v>114.72219</v>
      </c>
      <c r="D5" s="15">
        <f>C5*(1+D4)</f>
        <v>120.4582995</v>
      </c>
      <c r="E5" s="15">
        <f>D5*(1+E4)</f>
        <v>127.68579747</v>
      </c>
    </row>
    <row r="6" ht="20.05" customHeight="1">
      <c r="A6" t="s" s="11">
        <v>6</v>
      </c>
      <c r="B6" s="12">
        <f>AVERAGE('Sales'!I26)</f>
        <v>-0.731450139160127</v>
      </c>
      <c r="C6" s="13">
        <f>B6</f>
        <v>-0.731450139160127</v>
      </c>
      <c r="D6" s="13">
        <f>C6</f>
        <v>-0.731450139160127</v>
      </c>
      <c r="E6" s="13">
        <f>D6</f>
        <v>-0.731450139160127</v>
      </c>
    </row>
    <row r="7" ht="20.05" customHeight="1">
      <c r="A7" t="s" s="11">
        <v>7</v>
      </c>
      <c r="B7" s="16">
        <f>B5*B6</f>
        <v>-84.7611735760147</v>
      </c>
      <c r="C7" s="17">
        <f>C5*C6</f>
        <v>-83.9135618402545</v>
      </c>
      <c r="D7" s="17">
        <f>D5*D6</f>
        <v>-88.1092399322673</v>
      </c>
      <c r="E7" s="17">
        <f>E5*E6</f>
        <v>-93.39579432820329</v>
      </c>
    </row>
    <row r="8" ht="20.05" customHeight="1">
      <c r="A8" t="s" s="11">
        <v>8</v>
      </c>
      <c r="B8" s="16">
        <f>B5+B7</f>
        <v>31.1198264239853</v>
      </c>
      <c r="C8" s="17">
        <f>C5+C7</f>
        <v>30.8086281597455</v>
      </c>
      <c r="D8" s="17">
        <f>D5+D7</f>
        <v>32.3490595677327</v>
      </c>
      <c r="E8" s="17">
        <f>E5+E7</f>
        <v>34.2900031417967</v>
      </c>
    </row>
    <row r="9" ht="20.05" customHeight="1">
      <c r="A9" t="s" s="11">
        <v>9</v>
      </c>
      <c r="B9" s="16">
        <f>AVERAGE('Cashflow '!F24:F26)</f>
        <v>-17.4666666666667</v>
      </c>
      <c r="C9" s="17">
        <f>B9</f>
        <v>-17.4666666666667</v>
      </c>
      <c r="D9" s="17">
        <f>C9</f>
        <v>-17.4666666666667</v>
      </c>
      <c r="E9" s="17">
        <f>D9</f>
        <v>-17.4666666666667</v>
      </c>
    </row>
    <row r="10" ht="20.05" customHeight="1">
      <c r="A10" t="s" s="11">
        <v>10</v>
      </c>
      <c r="B10" s="16">
        <f>'Cashflow '!G26</f>
        <v>-2.2</v>
      </c>
      <c r="C10" s="17">
        <f>B10</f>
        <v>-2.2</v>
      </c>
      <c r="D10" s="17">
        <f>C10</f>
        <v>-2.2</v>
      </c>
      <c r="E10" s="17">
        <f>D10</f>
        <v>-2.2</v>
      </c>
    </row>
    <row r="11" ht="20.05" customHeight="1">
      <c r="A11" t="s" s="11">
        <v>11</v>
      </c>
      <c r="B11" s="16">
        <f>B12+B13+B15</f>
        <v>-13.6531597573186</v>
      </c>
      <c r="C11" s="17">
        <f>C12+C13+C15</f>
        <v>-13.3419614930788</v>
      </c>
      <c r="D11" s="17">
        <f>D12+D13+D15</f>
        <v>-14.882392901066</v>
      </c>
      <c r="E11" s="17">
        <f>E12+E13+E15</f>
        <v>-16.823336475130</v>
      </c>
    </row>
    <row r="12" ht="20.05" customHeight="1">
      <c r="A12" t="s" s="11">
        <v>12</v>
      </c>
      <c r="B12" s="16">
        <f>-'Balance sheet'!G26/20</f>
        <v>-14.35</v>
      </c>
      <c r="C12" s="17">
        <f>-B26/20</f>
        <v>-13.6325</v>
      </c>
      <c r="D12" s="17">
        <f>-C26/20</f>
        <v>-12.950875</v>
      </c>
      <c r="E12" s="17">
        <f>-D26/20</f>
        <v>-12.30333125</v>
      </c>
    </row>
    <row r="13" ht="20.05" customHeight="1">
      <c r="A13" t="s" s="11">
        <v>13</v>
      </c>
      <c r="B13" s="16">
        <f>IF(B21&gt;0,-B21*0.3,0)</f>
        <v>-3.39594792719559</v>
      </c>
      <c r="C13" s="17">
        <f>IF(C21&gt;0,-C21*0.3,0)</f>
        <v>-3.30258844792365</v>
      </c>
      <c r="D13" s="17">
        <f>IF(D21&gt;0,-D21*0.3,0)</f>
        <v>-3.76471787031981</v>
      </c>
      <c r="E13" s="17">
        <f>IF(E21&gt;0,-E21*0.3,0)</f>
        <v>-4.34700094253901</v>
      </c>
    </row>
    <row r="14" ht="20.05" customHeight="1">
      <c r="A14" t="s" s="11">
        <v>14</v>
      </c>
      <c r="B14" s="16">
        <f>B8+B9+B12+B13</f>
        <v>-4.09278816987699</v>
      </c>
      <c r="C14" s="17">
        <f>C8+C9+C12+C13</f>
        <v>-3.59312695484485</v>
      </c>
      <c r="D14" s="17">
        <f>D8+D9+D12+D13</f>
        <v>-1.83319996925381</v>
      </c>
      <c r="E14" s="17">
        <f>E8+E9+E12+E13</f>
        <v>0.17300428259099</v>
      </c>
    </row>
    <row r="15" ht="20.05" customHeight="1">
      <c r="A15" t="s" s="11">
        <v>15</v>
      </c>
      <c r="B15" s="16">
        <f>-MIN(0,B14)</f>
        <v>4.09278816987699</v>
      </c>
      <c r="C15" s="17">
        <f>-MIN(B27,C14)</f>
        <v>3.59312695484485</v>
      </c>
      <c r="D15" s="17">
        <f>-MIN(C27,D14)</f>
        <v>1.83319996925381</v>
      </c>
      <c r="E15" s="17">
        <f>-MIN(D27,E14)</f>
        <v>-0.17300428259099</v>
      </c>
    </row>
    <row r="16" ht="20.05" customHeight="1">
      <c r="A16" t="s" s="11">
        <v>16</v>
      </c>
      <c r="B16" s="16">
        <f>'Balance sheet'!C26</f>
        <v>96</v>
      </c>
      <c r="C16" s="17">
        <f>B18</f>
        <v>96</v>
      </c>
      <c r="D16" s="17">
        <f>C18</f>
        <v>96</v>
      </c>
      <c r="E16" s="17">
        <f>D18</f>
        <v>96</v>
      </c>
    </row>
    <row r="17" ht="20.05" customHeight="1">
      <c r="A17" t="s" s="11">
        <v>17</v>
      </c>
      <c r="B17" s="16">
        <f>B8+B9+B11</f>
        <v>0</v>
      </c>
      <c r="C17" s="17">
        <f>C8+C9+C11</f>
        <v>0</v>
      </c>
      <c r="D17" s="17">
        <f>D8+D9+D11</f>
        <v>0</v>
      </c>
      <c r="E17" s="17">
        <f>E8+E9+E11</f>
        <v>0</v>
      </c>
    </row>
    <row r="18" ht="20.05" customHeight="1">
      <c r="A18" t="s" s="11">
        <v>18</v>
      </c>
      <c r="B18" s="16">
        <f>B16+B17</f>
        <v>96</v>
      </c>
      <c r="C18" s="17">
        <f>C16+C17</f>
        <v>96</v>
      </c>
      <c r="D18" s="17">
        <f>D16+D17</f>
        <v>96</v>
      </c>
      <c r="E18" s="17">
        <f>E16+E17</f>
        <v>96</v>
      </c>
    </row>
    <row r="19" ht="20.05" customHeight="1">
      <c r="A19" t="s" s="18">
        <v>19</v>
      </c>
      <c r="B19" s="16"/>
      <c r="C19" s="17"/>
      <c r="D19" s="17"/>
      <c r="E19" s="19"/>
    </row>
    <row r="20" ht="20.05" customHeight="1">
      <c r="A20" t="s" s="11">
        <v>20</v>
      </c>
      <c r="B20" s="16">
        <f>-AVERAGE('Sales'!E26)</f>
        <v>-19.8</v>
      </c>
      <c r="C20" s="17">
        <f>B20</f>
        <v>-19.8</v>
      </c>
      <c r="D20" s="17">
        <f>C20</f>
        <v>-19.8</v>
      </c>
      <c r="E20" s="17">
        <f>D20</f>
        <v>-19.8</v>
      </c>
    </row>
    <row r="21" ht="20.05" customHeight="1">
      <c r="A21" t="s" s="11">
        <v>19</v>
      </c>
      <c r="B21" s="16">
        <f>B5+B7+B20</f>
        <v>11.3198264239853</v>
      </c>
      <c r="C21" s="17">
        <f>C5+C7+C20</f>
        <v>11.0086281597455</v>
      </c>
      <c r="D21" s="17">
        <f>D5+D7+D20</f>
        <v>12.5490595677327</v>
      </c>
      <c r="E21" s="17">
        <f>E5+E7+E20</f>
        <v>14.4900031417967</v>
      </c>
    </row>
    <row r="22" ht="20.05" customHeight="1">
      <c r="A22" t="s" s="18">
        <v>21</v>
      </c>
      <c r="B22" s="16"/>
      <c r="C22" s="17"/>
      <c r="D22" s="17"/>
      <c r="E22" s="17"/>
    </row>
    <row r="23" ht="20.05" customHeight="1">
      <c r="A23" t="s" s="11">
        <v>22</v>
      </c>
      <c r="B23" s="16">
        <f>'Balance sheet'!F26+'Balance sheet'!E26-B9</f>
        <v>879.466666666667</v>
      </c>
      <c r="C23" s="17">
        <f>B23-C9</f>
        <v>896.933333333334</v>
      </c>
      <c r="D23" s="17">
        <f>C23-D9</f>
        <v>914.400000000001</v>
      </c>
      <c r="E23" s="17">
        <f>D23-E9</f>
        <v>931.866666666668</v>
      </c>
    </row>
    <row r="24" ht="20.05" customHeight="1">
      <c r="A24" t="s" s="11">
        <v>23</v>
      </c>
      <c r="B24" s="16">
        <f>'Balance sheet'!F26-B20</f>
        <v>451.8</v>
      </c>
      <c r="C24" s="17">
        <f>B24-C20</f>
        <v>471.6</v>
      </c>
      <c r="D24" s="17">
        <f>C24-D20</f>
        <v>491.4</v>
      </c>
      <c r="E24" s="17">
        <f>D24-E20</f>
        <v>511.2</v>
      </c>
    </row>
    <row r="25" ht="20.05" customHeight="1">
      <c r="A25" t="s" s="11">
        <v>24</v>
      </c>
      <c r="B25" s="16">
        <f>B23-B24</f>
        <v>427.666666666667</v>
      </c>
      <c r="C25" s="17">
        <f>C23-C24</f>
        <v>425.333333333334</v>
      </c>
      <c r="D25" s="17">
        <f>D23-D24</f>
        <v>423.000000000001</v>
      </c>
      <c r="E25" s="17">
        <f>E23-E24</f>
        <v>420.666666666668</v>
      </c>
    </row>
    <row r="26" ht="20.05" customHeight="1">
      <c r="A26" t="s" s="11">
        <v>12</v>
      </c>
      <c r="B26" s="16">
        <f>'Balance sheet'!G26+B12</f>
        <v>272.65</v>
      </c>
      <c r="C26" s="17">
        <f>B26+C12</f>
        <v>259.0175</v>
      </c>
      <c r="D26" s="17">
        <f>C26+D12</f>
        <v>246.066625</v>
      </c>
      <c r="E26" s="17">
        <f>D26+E12</f>
        <v>233.76329375</v>
      </c>
    </row>
    <row r="27" ht="20.05" customHeight="1">
      <c r="A27" t="s" s="11">
        <v>15</v>
      </c>
      <c r="B27" s="16">
        <f>B15</f>
        <v>4.09278816987699</v>
      </c>
      <c r="C27" s="17">
        <f>B27+C15</f>
        <v>7.68591512472184</v>
      </c>
      <c r="D27" s="17">
        <f>C27+D15</f>
        <v>9.51911509397565</v>
      </c>
      <c r="E27" s="17">
        <f>D27+E15</f>
        <v>9.34611081138466</v>
      </c>
    </row>
    <row r="28" ht="20.05" customHeight="1">
      <c r="A28" t="s" s="11">
        <v>13</v>
      </c>
      <c r="B28" s="16">
        <f>'Balance sheet'!H26+B21+B13</f>
        <v>246.923878496790</v>
      </c>
      <c r="C28" s="17">
        <f>B28+C21+C13</f>
        <v>254.629918208612</v>
      </c>
      <c r="D28" s="17">
        <f>C28+D21+D13</f>
        <v>263.414259906025</v>
      </c>
      <c r="E28" s="17">
        <f>D28+E21+E13</f>
        <v>273.557262105283</v>
      </c>
    </row>
    <row r="29" ht="20.05" customHeight="1">
      <c r="A29" t="s" s="11">
        <v>25</v>
      </c>
      <c r="B29" s="20">
        <f>B26+B27+B28-B18-B25</f>
        <v>-1e-14</v>
      </c>
      <c r="C29" s="21">
        <f>C26+C27+C28-C18-C25</f>
        <v>-1.6e-13</v>
      </c>
      <c r="D29" s="21">
        <f>D26+D27+D28-D18-D25</f>
        <v>-3.5e-13</v>
      </c>
      <c r="E29" s="21">
        <f>E26+E27+E28-E18-E25</f>
        <v>-3.4e-13</v>
      </c>
    </row>
    <row r="30" ht="20.05" customHeight="1">
      <c r="A30" t="s" s="11">
        <v>26</v>
      </c>
      <c r="B30" s="20">
        <f>B18-B26-B27</f>
        <v>-180.742788169877</v>
      </c>
      <c r="C30" s="21">
        <f>C18-C26-C27</f>
        <v>-170.703415124722</v>
      </c>
      <c r="D30" s="21">
        <f>D18-D26-D27</f>
        <v>-159.585740093976</v>
      </c>
      <c r="E30" s="21">
        <f>E18-E26-E27</f>
        <v>-147.109404561385</v>
      </c>
    </row>
    <row r="31" ht="20.05" customHeight="1">
      <c r="A31" t="s" s="18">
        <v>27</v>
      </c>
      <c r="B31" s="20"/>
      <c r="C31" s="21"/>
      <c r="D31" s="21"/>
      <c r="E31" s="21"/>
    </row>
    <row r="32" ht="20.05" customHeight="1">
      <c r="A32" t="s" s="11">
        <v>28</v>
      </c>
      <c r="B32" s="20"/>
      <c r="C32" s="21"/>
      <c r="D32" s="21"/>
      <c r="E32" s="21">
        <v>14</v>
      </c>
    </row>
    <row r="33" ht="20.05" customHeight="1">
      <c r="A33" t="s" s="11">
        <v>29</v>
      </c>
      <c r="B33" s="20">
        <f>'Cashflow '!M26-(B11-B10)</f>
        <v>85.35315975731859</v>
      </c>
      <c r="C33" s="21">
        <f>B33-(C11-C10)</f>
        <v>96.4951212503974</v>
      </c>
      <c r="D33" s="21">
        <f>C33-(D11-D10)</f>
        <v>109.177514151463</v>
      </c>
      <c r="E33" s="21">
        <f>D33-(E11-E10)</f>
        <v>123.800850626593</v>
      </c>
    </row>
    <row r="34" ht="20.05" customHeight="1">
      <c r="A34" t="s" s="11">
        <v>30</v>
      </c>
      <c r="B34" s="20"/>
      <c r="C34" s="21"/>
      <c r="D34" s="21"/>
      <c r="E34" s="22">
        <f>2172/E32</f>
        <v>155.142857142857</v>
      </c>
    </row>
    <row r="35" ht="20.05" customHeight="1">
      <c r="A35" t="s" s="11">
        <v>31</v>
      </c>
      <c r="B35" s="20"/>
      <c r="C35" s="21"/>
      <c r="D35" s="21"/>
      <c r="E35" s="23">
        <f>E34/(E18+E25)</f>
        <v>0.300276497695851</v>
      </c>
    </row>
    <row r="36" ht="20.05" customHeight="1">
      <c r="A36" t="s" s="11">
        <v>32</v>
      </c>
      <c r="B36" s="20"/>
      <c r="C36" s="21"/>
      <c r="D36" s="21"/>
      <c r="E36" s="13">
        <f>-(B13+C13+D13+E13)/E34</f>
        <v>0.0954620500145916</v>
      </c>
    </row>
    <row r="37" ht="20.05" customHeight="1">
      <c r="A37" t="s" s="11">
        <v>33</v>
      </c>
      <c r="B37" s="20"/>
      <c r="C37" s="21"/>
      <c r="D37" s="21"/>
      <c r="E37" s="21">
        <f>SUM(B8:E10)</f>
        <v>49.9008506265934</v>
      </c>
    </row>
    <row r="38" ht="20.05" customHeight="1">
      <c r="A38" t="s" s="11">
        <v>34</v>
      </c>
      <c r="B38" s="20"/>
      <c r="C38" s="21"/>
      <c r="D38" s="21"/>
      <c r="E38" s="21">
        <f>'Balance sheet'!E26/E37</f>
        <v>8.617087576676351</v>
      </c>
    </row>
    <row r="39" ht="20.05" customHeight="1">
      <c r="A39" t="s" s="11">
        <v>27</v>
      </c>
      <c r="B39" s="20"/>
      <c r="C39" s="21"/>
      <c r="D39" s="21"/>
      <c r="E39" s="21">
        <f>E34/E37</f>
        <v>3.10902229510648</v>
      </c>
    </row>
    <row r="40" ht="20.05" customHeight="1">
      <c r="A40" t="s" s="11">
        <v>35</v>
      </c>
      <c r="B40" s="20"/>
      <c r="C40" s="21"/>
      <c r="D40" s="21"/>
      <c r="E40" s="21">
        <v>5</v>
      </c>
    </row>
    <row r="41" ht="20.05" customHeight="1">
      <c r="A41" t="s" s="11">
        <v>36</v>
      </c>
      <c r="B41" s="20"/>
      <c r="C41" s="21"/>
      <c r="D41" s="21"/>
      <c r="E41" s="21">
        <f>E37*E40</f>
        <v>249.504253132967</v>
      </c>
    </row>
    <row r="42" ht="20.05" customHeight="1">
      <c r="A42" t="s" s="11">
        <v>37</v>
      </c>
      <c r="B42" s="20"/>
      <c r="C42" s="21"/>
      <c r="D42" s="21"/>
      <c r="E42" s="21">
        <f>2172/E44</f>
        <v>0.991780821917808</v>
      </c>
    </row>
    <row r="43" ht="20.05" customHeight="1">
      <c r="A43" t="s" s="11">
        <v>38</v>
      </c>
      <c r="B43" s="20"/>
      <c r="C43" s="21"/>
      <c r="D43" s="21"/>
      <c r="E43" s="22">
        <f>(E41/E42)*E32</f>
        <v>3522.007551131110</v>
      </c>
    </row>
    <row r="44" ht="20.05" customHeight="1">
      <c r="A44" t="s" s="11">
        <v>39</v>
      </c>
      <c r="B44" s="20"/>
      <c r="C44" s="21"/>
      <c r="D44" s="21"/>
      <c r="E44" s="22">
        <f>'Share price '!C19</f>
        <v>2190</v>
      </c>
    </row>
    <row r="45" ht="20.05" customHeight="1">
      <c r="A45" t="s" s="11">
        <v>40</v>
      </c>
      <c r="B45" s="20"/>
      <c r="C45" s="21"/>
      <c r="D45" s="21"/>
      <c r="E45" s="13">
        <f>E43/E44-1</f>
        <v>0.608222626087265</v>
      </c>
    </row>
    <row r="46" ht="20.05" customHeight="1">
      <c r="A46" t="s" s="11">
        <v>41</v>
      </c>
      <c r="B46" s="20"/>
      <c r="C46" s="21"/>
      <c r="D46" s="21"/>
      <c r="E46" s="13">
        <f>'Sales'!C26/'Sales'!C22-1</f>
        <v>0.463513513513514</v>
      </c>
    </row>
    <row r="47" ht="20.05" customHeight="1">
      <c r="A47" t="s" s="11">
        <v>42</v>
      </c>
      <c r="B47" s="20"/>
      <c r="C47" s="21"/>
      <c r="D47" s="21"/>
      <c r="E47" s="13">
        <f>('Sales'!D23+'Sales'!D24+'Sales'!D25+'Sales'!D26)/('Sales'!C23+'Sales'!C24+'Sales'!C25+'Sales'!C26)-1</f>
        <v>-0.0443628950050968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60938" style="24" customWidth="1"/>
    <col min="2" max="10" width="9.67969" style="24" customWidth="1"/>
    <col min="11" max="16384" width="16.3516" style="24" customWidth="1"/>
  </cols>
  <sheetData>
    <row r="1" ht="14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</v>
      </c>
      <c r="D3" t="s" s="4">
        <v>35</v>
      </c>
      <c r="E3" t="s" s="4">
        <v>43</v>
      </c>
      <c r="F3" t="s" s="4">
        <v>44</v>
      </c>
      <c r="G3" t="s" s="4">
        <v>45</v>
      </c>
      <c r="H3" t="s" s="4">
        <v>6</v>
      </c>
      <c r="I3" t="s" s="4">
        <v>46</v>
      </c>
      <c r="J3" t="s" s="4">
        <v>47</v>
      </c>
    </row>
    <row r="4" ht="20.25" customHeight="1">
      <c r="B4" s="25">
        <v>2016</v>
      </c>
      <c r="C4" s="26">
        <v>42.6</v>
      </c>
      <c r="D4" s="27"/>
      <c r="E4" s="27">
        <v>3.4</v>
      </c>
      <c r="F4" s="28">
        <v>-3.4</v>
      </c>
      <c r="G4" s="29"/>
      <c r="H4" s="10">
        <f>(E4+F4-C4)/C4</f>
        <v>-1</v>
      </c>
      <c r="I4" s="10"/>
      <c r="J4" s="10">
        <f>('Cashflow '!D4-'Cashflow '!C4)/'Cashflow '!C4</f>
        <v>-0.545652173913043</v>
      </c>
    </row>
    <row r="5" ht="20.05" customHeight="1">
      <c r="B5" s="30"/>
      <c r="C5" s="14">
        <v>46.474</v>
      </c>
      <c r="D5" s="15"/>
      <c r="E5" s="15">
        <v>3.4</v>
      </c>
      <c r="F5" s="17">
        <v>-3.078</v>
      </c>
      <c r="G5" s="13">
        <f>C5/C4-1</f>
        <v>0.0909389671361502</v>
      </c>
      <c r="H5" s="13">
        <f>(E5+F5-C5)/C5</f>
        <v>-0.99307139475836</v>
      </c>
      <c r="I5" s="13"/>
      <c r="J5" s="13">
        <f>('Cashflow '!D5-'Cashflow '!C5)/'Cashflow '!C5</f>
        <v>-0.9399999999999999</v>
      </c>
    </row>
    <row r="6" ht="20.05" customHeight="1">
      <c r="B6" s="30"/>
      <c r="C6" s="14">
        <v>59.726</v>
      </c>
      <c r="D6" s="15"/>
      <c r="E6" s="15">
        <v>3.4</v>
      </c>
      <c r="F6" s="17">
        <v>1.93</v>
      </c>
      <c r="G6" s="13">
        <f>C6/C5-1</f>
        <v>0.285148685286397</v>
      </c>
      <c r="H6" s="13">
        <f>(E6+F6-C6)/C6</f>
        <v>-0.910759133375749</v>
      </c>
      <c r="I6" s="13"/>
      <c r="J6" s="13">
        <f>('Cashflow '!D6-'Cashflow '!C6)/'Cashflow '!C6</f>
        <v>-0.726744186046512</v>
      </c>
    </row>
    <row r="7" ht="20.05" customHeight="1">
      <c r="B7" s="30"/>
      <c r="C7" s="14">
        <v>60.6</v>
      </c>
      <c r="D7" s="15"/>
      <c r="E7" s="15">
        <v>3.4</v>
      </c>
      <c r="F7" s="17">
        <v>-3.252</v>
      </c>
      <c r="G7" s="13">
        <f>C7/C6-1</f>
        <v>0.0146334929511436</v>
      </c>
      <c r="H7" s="13">
        <f>(E7+F7-C7)/C7</f>
        <v>-0.997557755775578</v>
      </c>
      <c r="I7" s="13"/>
      <c r="J7" s="13">
        <f>('Cashflow '!D7-'Cashflow '!C7)/'Cashflow '!C7</f>
        <v>-0.731748726655348</v>
      </c>
    </row>
    <row r="8" ht="20.05" customHeight="1">
      <c r="B8" s="31">
        <v>2017</v>
      </c>
      <c r="C8" s="14">
        <v>58.464</v>
      </c>
      <c r="D8" s="15"/>
      <c r="E8" s="15">
        <v>6.5</v>
      </c>
      <c r="F8" s="17">
        <v>2.491</v>
      </c>
      <c r="G8" s="13">
        <f>C8/C7-1</f>
        <v>-0.0352475247524752</v>
      </c>
      <c r="H8" s="13">
        <f>(E8+F8-C8)/C8</f>
        <v>-0.8462130541871919</v>
      </c>
      <c r="I8" s="13">
        <f>AVERAGE(J5:J8)</f>
        <v>-0.8066077396633901</v>
      </c>
      <c r="J8" s="13">
        <f>('Cashflow '!D8-'Cashflow '!C8)/'Cashflow '!C8</f>
        <v>-0.827938045951699</v>
      </c>
    </row>
    <row r="9" ht="20.05" customHeight="1">
      <c r="B9" s="30"/>
      <c r="C9" s="14">
        <v>82.16200000000001</v>
      </c>
      <c r="D9" s="15"/>
      <c r="E9" s="15">
        <v>6.5</v>
      </c>
      <c r="F9" s="17">
        <v>2.276</v>
      </c>
      <c r="G9" s="13">
        <f>C9/C8-1</f>
        <v>0.40534345922277</v>
      </c>
      <c r="H9" s="13">
        <f>(E9+F9-C9)/C9</f>
        <v>-0.893186631289404</v>
      </c>
      <c r="I9" s="13">
        <f>AVERAGE(J6:J9)</f>
        <v>-0.748418792688035</v>
      </c>
      <c r="J9" s="13">
        <f>('Cashflow '!D9-'Cashflow '!C9)/'Cashflow '!C9</f>
        <v>-0.707244212098581</v>
      </c>
    </row>
    <row r="10" ht="20.05" customHeight="1">
      <c r="B10" s="30"/>
      <c r="C10" s="14">
        <v>83.474</v>
      </c>
      <c r="D10" s="15"/>
      <c r="E10" s="15">
        <v>6.5</v>
      </c>
      <c r="F10" s="17">
        <v>3.233</v>
      </c>
      <c r="G10" s="13">
        <f>C10/C9-1</f>
        <v>0.0159684525693143</v>
      </c>
      <c r="H10" s="13">
        <f>(E10+F10-C10)/C10</f>
        <v>-0.883400819416824</v>
      </c>
      <c r="I10" s="13">
        <f>AVERAGE(J7:J10)</f>
        <v>-0.770333854209648</v>
      </c>
      <c r="J10" s="13">
        <f>('Cashflow '!D10-'Cashflow '!C10)/'Cashflow '!C10</f>
        <v>-0.814404432132964</v>
      </c>
    </row>
    <row r="11" ht="20.05" customHeight="1">
      <c r="B11" s="30"/>
      <c r="C11" s="14">
        <v>89.40000000000001</v>
      </c>
      <c r="D11" s="15"/>
      <c r="E11" s="15">
        <v>6.5</v>
      </c>
      <c r="F11" s="17">
        <v>3.9</v>
      </c>
      <c r="G11" s="13">
        <f>C11/C10-1</f>
        <v>0.0709921652251</v>
      </c>
      <c r="H11" s="13">
        <f>(E11+F11-C11)/C11</f>
        <v>-0.883668903803132</v>
      </c>
      <c r="I11" s="13">
        <f>AVERAGE(J8:J11)</f>
        <v>-0.813805123250036</v>
      </c>
      <c r="J11" s="13">
        <f>('Cashflow '!D11-'Cashflow '!C11)/'Cashflow '!C11</f>
        <v>-0.905633802816901</v>
      </c>
    </row>
    <row r="12" ht="20.05" customHeight="1">
      <c r="B12" s="31">
        <v>2018</v>
      </c>
      <c r="C12" s="14">
        <v>89.51600000000001</v>
      </c>
      <c r="D12" s="15"/>
      <c r="E12" s="15">
        <v>9.525</v>
      </c>
      <c r="F12" s="17">
        <v>1.543</v>
      </c>
      <c r="G12" s="13">
        <f>C12/C11-1</f>
        <v>0.00129753914988814</v>
      </c>
      <c r="H12" s="13">
        <f>(E12+F12-C12)/C12</f>
        <v>-0.876357299253765</v>
      </c>
      <c r="I12" s="13">
        <f>AVERAGE(J9:J12)</f>
        <v>-0.8332358945523261</v>
      </c>
      <c r="J12" s="13">
        <f>('Cashflow '!D12-'Cashflow '!C12)/'Cashflow '!C12</f>
        <v>-0.905661131160858</v>
      </c>
    </row>
    <row r="13" ht="20.05" customHeight="1">
      <c r="B13" s="30"/>
      <c r="C13" s="14">
        <v>116.312</v>
      </c>
      <c r="D13" s="15"/>
      <c r="E13" s="15">
        <v>9.525</v>
      </c>
      <c r="F13" s="17">
        <v>6.011</v>
      </c>
      <c r="G13" s="13">
        <f>C13/C12-1</f>
        <v>0.299343134188302</v>
      </c>
      <c r="H13" s="13">
        <f>(E13+F13-C13)/C13</f>
        <v>-0.866428227525965</v>
      </c>
      <c r="I13" s="13">
        <f>AVERAGE(J10:J13)</f>
        <v>-0.851019994733902</v>
      </c>
      <c r="J13" s="13">
        <f>('Cashflow '!D13-'Cashflow '!C13)/'Cashflow '!C13</f>
        <v>-0.778380612824885</v>
      </c>
    </row>
    <row r="14" ht="20.05" customHeight="1">
      <c r="B14" s="30"/>
      <c r="C14" s="14">
        <v>120.172</v>
      </c>
      <c r="D14" s="15"/>
      <c r="E14" s="15">
        <v>9.525</v>
      </c>
      <c r="F14" s="17">
        <v>10.346</v>
      </c>
      <c r="G14" s="13">
        <f>C14/C13-1</f>
        <v>0.0331866015544398</v>
      </c>
      <c r="H14" s="13">
        <f>(E14+F14-C14)/C14</f>
        <v>-0.8346453416769301</v>
      </c>
      <c r="I14" s="13">
        <f>AVERAGE(J11:J14)</f>
        <v>-0.868688146113956</v>
      </c>
      <c r="J14" s="13">
        <f>('Cashflow '!D14-'Cashflow '!C14)/'Cashflow '!C14</f>
        <v>-0.885077037653181</v>
      </c>
    </row>
    <row r="15" ht="20.05" customHeight="1">
      <c r="B15" s="30"/>
      <c r="C15" s="14">
        <v>139.7</v>
      </c>
      <c r="D15" s="15"/>
      <c r="E15" s="15">
        <v>9.525</v>
      </c>
      <c r="F15" s="17">
        <v>5.3</v>
      </c>
      <c r="G15" s="13">
        <f>C15/C14-1</f>
        <v>0.162500416070299</v>
      </c>
      <c r="H15" s="13">
        <f>(E15+F15-C15)/C15</f>
        <v>-0.8938797423049391</v>
      </c>
      <c r="I15" s="13">
        <f>AVERAGE(J12:J15)</f>
        <v>-0.824557619772088</v>
      </c>
      <c r="J15" s="13">
        <f>('Cashflow '!D15-'Cashflow '!C15)/'Cashflow '!C15</f>
        <v>-0.7291116974494281</v>
      </c>
    </row>
    <row r="16" ht="20.05" customHeight="1">
      <c r="B16" s="31">
        <v>2019</v>
      </c>
      <c r="C16" s="14">
        <v>115.2</v>
      </c>
      <c r="D16" s="15"/>
      <c r="E16" s="15">
        <v>6.2</v>
      </c>
      <c r="F16" s="17">
        <v>3.1</v>
      </c>
      <c r="G16" s="13">
        <f>C16/C15-1</f>
        <v>-0.175375805297065</v>
      </c>
      <c r="H16" s="13">
        <f>(E16+F16-C16)/C16</f>
        <v>-0.919270833333333</v>
      </c>
      <c r="I16" s="13">
        <f>AVERAGE(J13:J16)</f>
        <v>-0.823617020526177</v>
      </c>
      <c r="J16" s="13">
        <f>('Cashflow '!D16-'Cashflow '!C16)/'Cashflow '!C16</f>
        <v>-0.901898734177215</v>
      </c>
    </row>
    <row r="17" ht="20.05" customHeight="1">
      <c r="B17" s="30"/>
      <c r="C17" s="14">
        <v>122.9</v>
      </c>
      <c r="D17" s="15"/>
      <c r="E17" s="15">
        <v>6.2</v>
      </c>
      <c r="F17" s="17">
        <v>4.7</v>
      </c>
      <c r="G17" s="13">
        <f>C17/C16-1</f>
        <v>0.0668402777777778</v>
      </c>
      <c r="H17" s="13">
        <f>(E17+F17-C17)/C17</f>
        <v>-0.911310008136697</v>
      </c>
      <c r="I17" s="13">
        <f>AVERAGE(J14:J17)</f>
        <v>-0.8439622889514869</v>
      </c>
      <c r="J17" s="13">
        <f>('Cashflow '!D17-'Cashflow '!C17)/'Cashflow '!C17</f>
        <v>-0.8597616865261229</v>
      </c>
    </row>
    <row r="18" ht="20.05" customHeight="1">
      <c r="B18" s="30"/>
      <c r="C18" s="14">
        <v>140.6</v>
      </c>
      <c r="D18" s="15"/>
      <c r="E18" s="15">
        <v>6.2</v>
      </c>
      <c r="F18" s="17">
        <v>12.8</v>
      </c>
      <c r="G18" s="13">
        <f>C18/C17-1</f>
        <v>0.144019528071603</v>
      </c>
      <c r="H18" s="13">
        <f>(E18+F18-C18)/C18</f>
        <v>-0.864864864864865</v>
      </c>
      <c r="I18" s="13">
        <f>AVERAGE(J15:J18)</f>
        <v>-0.790930734456224</v>
      </c>
      <c r="J18" s="13">
        <f>('Cashflow '!D18-'Cashflow '!C18)/'Cashflow '!C18</f>
        <v>-0.672950819672131</v>
      </c>
    </row>
    <row r="19" ht="20.05" customHeight="1">
      <c r="B19" s="30"/>
      <c r="C19" s="14">
        <v>97.7</v>
      </c>
      <c r="D19" s="15"/>
      <c r="E19" s="15">
        <v>6.2</v>
      </c>
      <c r="F19" s="17">
        <v>10.7</v>
      </c>
      <c r="G19" s="13">
        <f>C19/C18-1</f>
        <v>-0.305120910384068</v>
      </c>
      <c r="H19" s="13">
        <f>(E19+F19-C19)/C19</f>
        <v>-0.827021494370522</v>
      </c>
      <c r="I19" s="13">
        <f>AVERAGE(J16:J19)</f>
        <v>-0.817071351334495</v>
      </c>
      <c r="J19" s="13">
        <f>('Cashflow '!D19-'Cashflow '!C19)/'Cashflow '!C19</f>
        <v>-0.833674164962509</v>
      </c>
    </row>
    <row r="20" ht="20.05" customHeight="1">
      <c r="B20" s="31">
        <v>2020</v>
      </c>
      <c r="C20" s="14">
        <v>103.6</v>
      </c>
      <c r="D20" s="15"/>
      <c r="E20" s="15">
        <f>E23</f>
        <v>17.7</v>
      </c>
      <c r="F20" s="17">
        <v>4.4</v>
      </c>
      <c r="G20" s="13">
        <f>C20/C19-1</f>
        <v>0.060388945752303</v>
      </c>
      <c r="H20" s="13">
        <f>(E20+F20-C20)/C20</f>
        <v>-0.7866795366795371</v>
      </c>
      <c r="I20" s="13">
        <f>AVERAGE(J17:J20)</f>
        <v>-0.785899388878626</v>
      </c>
      <c r="J20" s="13">
        <f>('Cashflow '!D20-'Cashflow '!C20)/'Cashflow '!C20</f>
        <v>-0.777210884353741</v>
      </c>
    </row>
    <row r="21" ht="20.05" customHeight="1">
      <c r="B21" s="30"/>
      <c r="C21" s="14">
        <v>72.3</v>
      </c>
      <c r="D21" s="15"/>
      <c r="E21" s="15">
        <f>E20</f>
        <v>17.7</v>
      </c>
      <c r="F21" s="17">
        <v>4.8</v>
      </c>
      <c r="G21" s="13">
        <f>C21/C20-1</f>
        <v>-0.302123552123552</v>
      </c>
      <c r="H21" s="13">
        <f>(E21+F21-C21)/C21</f>
        <v>-0.688796680497925</v>
      </c>
      <c r="I21" s="13">
        <f>AVERAGE(J18:J21)</f>
        <v>-0.74770009733908</v>
      </c>
      <c r="J21" s="13">
        <f>('Cashflow '!D21-'Cashflow '!C21)/'Cashflow '!C21</f>
        <v>-0.706964520367937</v>
      </c>
    </row>
    <row r="22" ht="20.05" customHeight="1">
      <c r="B22" s="30"/>
      <c r="C22" s="14">
        <v>74</v>
      </c>
      <c r="D22" s="15"/>
      <c r="E22" s="15">
        <f>E21</f>
        <v>17.7</v>
      </c>
      <c r="F22" s="17">
        <f>13.2-SUM(F20:F21)</f>
        <v>4</v>
      </c>
      <c r="G22" s="13">
        <f>C22/C21-1</f>
        <v>0.0235131396957123</v>
      </c>
      <c r="H22" s="13">
        <f>(E22+F22-C22)/C22</f>
        <v>-0.706756756756757</v>
      </c>
      <c r="I22" s="13">
        <f>AVERAGE(J19:J22)</f>
        <v>-0.7832840484720019</v>
      </c>
      <c r="J22" s="13">
        <f>('Cashflow '!D22-'Cashflow '!C22)/'Cashflow '!C22</f>
        <v>-0.815286624203822</v>
      </c>
    </row>
    <row r="23" ht="20.05" customHeight="1">
      <c r="B23" s="30"/>
      <c r="C23" s="14">
        <f>340.7-SUM(C20:C22)</f>
        <v>90.8</v>
      </c>
      <c r="D23" s="15">
        <v>79.18000000000001</v>
      </c>
      <c r="E23" s="15">
        <f>(62.4+1.8+6.6)/4</f>
        <v>17.7</v>
      </c>
      <c r="F23" s="17">
        <f>32.5-SUM(F20:F22)</f>
        <v>19.3</v>
      </c>
      <c r="G23" s="13">
        <f>C23/C22-1</f>
        <v>0.227027027027027</v>
      </c>
      <c r="H23" s="13">
        <f>(E23+F23-C23)/C23</f>
        <v>-0.592511013215859</v>
      </c>
      <c r="I23" s="13">
        <f>AVERAGE(J20:J23)</f>
        <v>-0.677347776734921</v>
      </c>
      <c r="J23" s="13">
        <f>('Cashflow '!D23-'Cashflow '!C23)/'Cashflow '!C23</f>
        <v>-0.409929078014184</v>
      </c>
    </row>
    <row r="24" ht="20.05" customHeight="1">
      <c r="B24" s="31">
        <v>2021</v>
      </c>
      <c r="C24" s="32">
        <v>91.09999999999999</v>
      </c>
      <c r="D24" s="15">
        <v>89.892</v>
      </c>
      <c r="E24" s="15">
        <f>15.7+0.7+2</f>
        <v>18.4</v>
      </c>
      <c r="F24" s="17">
        <v>3.8</v>
      </c>
      <c r="G24" s="13">
        <f>C24/C23-1</f>
        <v>0.00330396475770925</v>
      </c>
      <c r="H24" s="13">
        <f>(E24+F24-C24)/C24</f>
        <v>-0.7563117453347969</v>
      </c>
      <c r="I24" s="13">
        <f>AVERAGE(J21:J24)</f>
        <v>-0.804088221114111</v>
      </c>
      <c r="J24" s="13">
        <f>('Cashflow '!D24-'Cashflow '!C24)/'Cashflow '!C24</f>
        <v>-1.2841726618705</v>
      </c>
    </row>
    <row r="25" ht="20.05" customHeight="1">
      <c r="B25" s="30"/>
      <c r="C25" s="14">
        <f>193.3-C24</f>
        <v>102.2</v>
      </c>
      <c r="D25" s="15">
        <v>96.566</v>
      </c>
      <c r="E25" s="15">
        <f>33.8+1.3+3.9-E24</f>
        <v>20.6</v>
      </c>
      <c r="F25" s="17">
        <f>11.9-F24</f>
        <v>8.1</v>
      </c>
      <c r="G25" s="13">
        <f>C25/C24-1</f>
        <v>0.121844127332602</v>
      </c>
      <c r="H25" s="13">
        <f>(E25+F25-C25)/C25</f>
        <v>-0.719178082191781</v>
      </c>
      <c r="I25" s="13">
        <f>AVERAGE(J22:J25)</f>
        <v>-0.764732761753834</v>
      </c>
      <c r="J25" s="13">
        <f>('Cashflow '!D25-'Cashflow '!C25)/'Cashflow '!C25</f>
        <v>-0.549542682926829</v>
      </c>
    </row>
    <row r="26" ht="20.05" customHeight="1">
      <c r="B26" s="30"/>
      <c r="C26" s="14">
        <f>301.6-SUM(C24:C25)</f>
        <v>108.3</v>
      </c>
      <c r="D26" s="15">
        <v>109.354</v>
      </c>
      <c r="E26" s="15">
        <f>49.4+2+7.4-SUM(E24:E25)</f>
        <v>19.8</v>
      </c>
      <c r="F26" s="17">
        <f>14.5-SUM(F24:F25)</f>
        <v>2.6</v>
      </c>
      <c r="G26" s="13">
        <f>C26/C25-1</f>
        <v>0.0596868884540117</v>
      </c>
      <c r="H26" s="13">
        <f>(E26+F26-C26)/C26</f>
        <v>-0.7931671283471839</v>
      </c>
      <c r="I26" s="13">
        <f>AVERAGE(J23:J26)</f>
        <v>-0.731450139160127</v>
      </c>
      <c r="J26" s="13">
        <f>('Cashflow '!D26-'Cashflow '!C26)/'Cashflow '!C26</f>
        <v>-0.682156133828996</v>
      </c>
    </row>
    <row r="27" ht="20.05" customHeight="1">
      <c r="B27" s="30"/>
      <c r="C27" s="14"/>
      <c r="D27" s="15">
        <f>'Model'!B5</f>
        <v>115.881</v>
      </c>
      <c r="E27" s="15"/>
      <c r="F27" s="17"/>
      <c r="G27" s="33"/>
      <c r="H27" s="13">
        <f>'Model'!B6</f>
        <v>-0.731450139160127</v>
      </c>
      <c r="I27" s="19"/>
      <c r="J27" s="13"/>
    </row>
    <row r="28" ht="20.05" customHeight="1">
      <c r="B28" s="31">
        <v>2022</v>
      </c>
      <c r="C28" s="14"/>
      <c r="D28" s="15">
        <f>'Model'!C5</f>
        <v>114.72219</v>
      </c>
      <c r="E28" s="15"/>
      <c r="F28" s="17"/>
      <c r="G28" s="33"/>
      <c r="H28" s="13"/>
      <c r="I28" s="13"/>
      <c r="J28" s="13"/>
    </row>
    <row r="29" ht="20.05" customHeight="1">
      <c r="B29" s="30"/>
      <c r="C29" s="14"/>
      <c r="D29" s="15">
        <f>'Model'!D5</f>
        <v>120.4582995</v>
      </c>
      <c r="E29" s="15"/>
      <c r="F29" s="17"/>
      <c r="G29" s="33"/>
      <c r="H29" s="13"/>
      <c r="I29" s="13"/>
      <c r="J29" s="13"/>
    </row>
    <row r="30" ht="20.05" customHeight="1">
      <c r="B30" s="30"/>
      <c r="C30" s="14"/>
      <c r="D30" s="15">
        <f>'Model'!E5</f>
        <v>127.68579747</v>
      </c>
      <c r="E30" s="15"/>
      <c r="F30" s="17"/>
      <c r="G30" s="33"/>
      <c r="H30" s="13"/>
      <c r="I30" s="13"/>
      <c r="J30" s="13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M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3281" style="34" customWidth="1"/>
    <col min="2" max="13" width="11.1328" style="34" customWidth="1"/>
    <col min="14" max="16384" width="16.3516" style="34" customWidth="1"/>
  </cols>
  <sheetData>
    <row r="1" ht="7.9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1</v>
      </c>
      <c r="C3" t="s" s="4">
        <v>48</v>
      </c>
      <c r="D3" t="s" s="4">
        <v>8</v>
      </c>
      <c r="E3" t="s" s="4">
        <v>49</v>
      </c>
      <c r="F3" t="s" s="4">
        <v>9</v>
      </c>
      <c r="G3" t="s" s="4">
        <v>10</v>
      </c>
      <c r="H3" t="s" s="4">
        <v>12</v>
      </c>
      <c r="I3" t="s" s="4">
        <v>13</v>
      </c>
      <c r="J3" t="s" s="4">
        <v>11</v>
      </c>
      <c r="K3" t="s" s="4">
        <v>50</v>
      </c>
      <c r="L3" t="s" s="4">
        <v>33</v>
      </c>
      <c r="M3" t="s" s="4">
        <v>29</v>
      </c>
    </row>
    <row r="4" ht="20.25" customHeight="1">
      <c r="B4" s="25">
        <v>2016</v>
      </c>
      <c r="C4" s="35">
        <v>46</v>
      </c>
      <c r="D4" s="36">
        <v>20.9</v>
      </c>
      <c r="E4" s="36"/>
      <c r="F4" s="36">
        <v>-1.7</v>
      </c>
      <c r="G4" s="36"/>
      <c r="H4" s="36"/>
      <c r="I4" s="36"/>
      <c r="J4" s="36">
        <v>-2.7</v>
      </c>
      <c r="K4" s="36">
        <f>D4+F4+G4</f>
        <v>19.2</v>
      </c>
      <c r="L4" s="36"/>
      <c r="M4" s="37">
        <f>-(J4-G4)</f>
        <v>2.7</v>
      </c>
    </row>
    <row r="5" ht="20.05" customHeight="1">
      <c r="B5" s="30"/>
      <c r="C5" s="20">
        <v>50</v>
      </c>
      <c r="D5" s="21">
        <v>3</v>
      </c>
      <c r="E5" s="21"/>
      <c r="F5" s="21">
        <v>-2.3</v>
      </c>
      <c r="G5" s="21"/>
      <c r="H5" s="21"/>
      <c r="I5" s="21"/>
      <c r="J5" s="21">
        <v>-5.5</v>
      </c>
      <c r="K5" s="21">
        <f>D5+F5+G5</f>
        <v>0.7</v>
      </c>
      <c r="L5" s="21"/>
      <c r="M5" s="22">
        <f>-(J5-G5)+M4</f>
        <v>8.199999999999999</v>
      </c>
    </row>
    <row r="6" ht="20.05" customHeight="1">
      <c r="B6" s="30"/>
      <c r="C6" s="20">
        <v>51.6</v>
      </c>
      <c r="D6" s="21">
        <v>14.1</v>
      </c>
      <c r="E6" s="21"/>
      <c r="F6" s="21">
        <v>-3.3</v>
      </c>
      <c r="G6" s="21"/>
      <c r="H6" s="21"/>
      <c r="I6" s="21"/>
      <c r="J6" s="21">
        <v>-12.5</v>
      </c>
      <c r="K6" s="21">
        <f>D6+F6+G6</f>
        <v>10.8</v>
      </c>
      <c r="L6" s="21"/>
      <c r="M6" s="22">
        <f>-(J6-G6)+M5</f>
        <v>20.7</v>
      </c>
    </row>
    <row r="7" ht="20.05" customHeight="1">
      <c r="B7" s="30"/>
      <c r="C7" s="20">
        <v>58.9</v>
      </c>
      <c r="D7" s="21">
        <v>15.8</v>
      </c>
      <c r="E7" s="21"/>
      <c r="F7" s="21">
        <v>-5.4</v>
      </c>
      <c r="G7" s="21"/>
      <c r="H7" s="21"/>
      <c r="I7" s="21"/>
      <c r="J7" s="21">
        <v>-7.6</v>
      </c>
      <c r="K7" s="21">
        <f>D7+F7+G7</f>
        <v>10.4</v>
      </c>
      <c r="L7" s="21"/>
      <c r="M7" s="22">
        <f>-(J7-G7)+M6</f>
        <v>28.3</v>
      </c>
    </row>
    <row r="8" ht="20.05" customHeight="1">
      <c r="B8" s="31">
        <v>2017</v>
      </c>
      <c r="C8" s="20">
        <v>54.492</v>
      </c>
      <c r="D8" s="21">
        <v>9.375999999999999</v>
      </c>
      <c r="E8" s="21"/>
      <c r="F8" s="21">
        <v>-6.587</v>
      </c>
      <c r="G8" s="21"/>
      <c r="H8" s="21"/>
      <c r="I8" s="21"/>
      <c r="J8" s="21">
        <v>0.251</v>
      </c>
      <c r="K8" s="21">
        <f>D8+F8+G8</f>
        <v>2.789</v>
      </c>
      <c r="L8" s="21">
        <f>AVERAGE(K5:K8)</f>
        <v>6.17225</v>
      </c>
      <c r="M8" s="22">
        <f>-(J8-G8)+M7</f>
        <v>28.049</v>
      </c>
    </row>
    <row r="9" ht="20.05" customHeight="1">
      <c r="B9" s="30"/>
      <c r="C9" s="20">
        <v>96.408</v>
      </c>
      <c r="D9" s="21">
        <v>28.224</v>
      </c>
      <c r="E9" s="21"/>
      <c r="F9" s="21">
        <v>-18.513</v>
      </c>
      <c r="G9" s="21"/>
      <c r="H9" s="21"/>
      <c r="I9" s="21"/>
      <c r="J9" s="21">
        <v>-4.251</v>
      </c>
      <c r="K9" s="21">
        <f>D9+F9+G9</f>
        <v>9.711</v>
      </c>
      <c r="L9" s="21">
        <f>AVERAGE(K6:K9)</f>
        <v>8.425000000000001</v>
      </c>
      <c r="M9" s="22">
        <f>-(J9-G9)+M8</f>
        <v>32.3</v>
      </c>
    </row>
    <row r="10" ht="20.05" customHeight="1">
      <c r="B10" s="30"/>
      <c r="C10" s="20">
        <v>72.2</v>
      </c>
      <c r="D10" s="21">
        <v>13.4</v>
      </c>
      <c r="E10" s="21"/>
      <c r="F10" s="21">
        <v>-9.699999999999999</v>
      </c>
      <c r="G10" s="21"/>
      <c r="H10" s="21"/>
      <c r="I10" s="21"/>
      <c r="J10" s="21">
        <v>-1</v>
      </c>
      <c r="K10" s="21">
        <f>D10+F10+G10</f>
        <v>3.7</v>
      </c>
      <c r="L10" s="21">
        <f>AVERAGE(K7:K10)</f>
        <v>6.65</v>
      </c>
      <c r="M10" s="22">
        <f>-(J10-G10)+M9</f>
        <v>33.3</v>
      </c>
    </row>
    <row r="11" ht="20.05" customHeight="1">
      <c r="B11" s="30"/>
      <c r="C11" s="20">
        <v>71</v>
      </c>
      <c r="D11" s="21">
        <v>6.7</v>
      </c>
      <c r="E11" s="21"/>
      <c r="F11" s="21">
        <v>-14.5</v>
      </c>
      <c r="G11" s="21"/>
      <c r="H11" s="21"/>
      <c r="I11" s="21"/>
      <c r="J11" s="21">
        <v>-7.2</v>
      </c>
      <c r="K11" s="21">
        <f>D11+F11+G11</f>
        <v>-7.8</v>
      </c>
      <c r="L11" s="21">
        <f>AVERAGE(K8:K11)</f>
        <v>2.1</v>
      </c>
      <c r="M11" s="22">
        <f>-(J11-G11)+M10</f>
        <v>40.5</v>
      </c>
    </row>
    <row r="12" ht="20.05" customHeight="1">
      <c r="B12" s="31">
        <v>2018</v>
      </c>
      <c r="C12" s="20">
        <v>75.09099999999999</v>
      </c>
      <c r="D12" s="21">
        <v>7.084</v>
      </c>
      <c r="E12" s="21">
        <v>-26.4</v>
      </c>
      <c r="F12" s="21">
        <v>-32.747</v>
      </c>
      <c r="G12" s="21"/>
      <c r="H12" s="21"/>
      <c r="I12" s="21"/>
      <c r="J12" s="21">
        <v>22.654</v>
      </c>
      <c r="K12" s="21">
        <f>D12+F12+G12</f>
        <v>-25.663</v>
      </c>
      <c r="L12" s="21">
        <f>AVERAGE(K9:K12)</f>
        <v>-5.013</v>
      </c>
      <c r="M12" s="22">
        <f>-(J12-G12)+M11</f>
        <v>17.846</v>
      </c>
    </row>
    <row r="13" ht="20.05" customHeight="1">
      <c r="B13" s="30"/>
      <c r="C13" s="20">
        <v>116.118</v>
      </c>
      <c r="D13" s="21">
        <v>25.734</v>
      </c>
      <c r="E13" s="21">
        <v>-26</v>
      </c>
      <c r="F13" s="21">
        <v>-35.936</v>
      </c>
      <c r="G13" s="21"/>
      <c r="H13" s="21"/>
      <c r="I13" s="21"/>
      <c r="J13" s="21">
        <v>5.086</v>
      </c>
      <c r="K13" s="21">
        <f>D13+F13+G13</f>
        <v>-10.202</v>
      </c>
      <c r="L13" s="21">
        <f>AVERAGE(K10:K13)</f>
        <v>-9.991250000000001</v>
      </c>
      <c r="M13" s="22">
        <f>-(J13-G13)+M12</f>
        <v>12.76</v>
      </c>
    </row>
    <row r="14" ht="20.05" customHeight="1">
      <c r="B14" s="30"/>
      <c r="C14" s="20">
        <v>103.391</v>
      </c>
      <c r="D14" s="21">
        <v>11.882</v>
      </c>
      <c r="E14" s="21">
        <v>-19.1</v>
      </c>
      <c r="F14" s="21">
        <v>-11.317</v>
      </c>
      <c r="G14" s="21"/>
      <c r="H14" s="21"/>
      <c r="I14" s="21"/>
      <c r="J14" s="21">
        <v>0.86</v>
      </c>
      <c r="K14" s="21">
        <f>D14+F14+G14</f>
        <v>0.5649999999999999</v>
      </c>
      <c r="L14" s="21">
        <f>AVERAGE(K11:K14)</f>
        <v>-10.775</v>
      </c>
      <c r="M14" s="22">
        <f>-(J14-G14)+M13</f>
        <v>11.9</v>
      </c>
    </row>
    <row r="15" ht="20.05" customHeight="1">
      <c r="B15" s="30"/>
      <c r="C15" s="20">
        <v>113.7</v>
      </c>
      <c r="D15" s="21">
        <v>30.8</v>
      </c>
      <c r="E15" s="21">
        <v>-32.7</v>
      </c>
      <c r="F15" s="21">
        <v>-34.8</v>
      </c>
      <c r="G15" s="21"/>
      <c r="H15" s="21"/>
      <c r="I15" s="21"/>
      <c r="J15" s="21">
        <v>13.7</v>
      </c>
      <c r="K15" s="21">
        <f>D15+F15+G15</f>
        <v>-4</v>
      </c>
      <c r="L15" s="21">
        <f>AVERAGE(K12:K15)</f>
        <v>-9.824999999999999</v>
      </c>
      <c r="M15" s="22">
        <f>-(J15-G15)+M14</f>
        <v>-1.8</v>
      </c>
    </row>
    <row r="16" ht="20.05" customHeight="1">
      <c r="B16" s="31">
        <v>2019</v>
      </c>
      <c r="C16" s="20">
        <v>126.4</v>
      </c>
      <c r="D16" s="21">
        <v>12.4</v>
      </c>
      <c r="E16" s="21">
        <v>-44.8</v>
      </c>
      <c r="F16" s="21">
        <v>-16.9</v>
      </c>
      <c r="G16" s="21"/>
      <c r="H16" s="21"/>
      <c r="I16" s="21"/>
      <c r="J16" s="21">
        <v>1.3</v>
      </c>
      <c r="K16" s="21">
        <f>D16+F16+G16</f>
        <v>-4.5</v>
      </c>
      <c r="L16" s="21">
        <f>AVERAGE(K13:K16)</f>
        <v>-4.53425</v>
      </c>
      <c r="M16" s="22">
        <f>-(J16-G16)+M15</f>
        <v>-3.1</v>
      </c>
    </row>
    <row r="17" ht="20.05" customHeight="1">
      <c r="B17" s="30"/>
      <c r="C17" s="20">
        <v>109.1</v>
      </c>
      <c r="D17" s="21">
        <v>15.3</v>
      </c>
      <c r="E17" s="21">
        <v>-13.5</v>
      </c>
      <c r="F17" s="21">
        <v>-18.1</v>
      </c>
      <c r="G17" s="21"/>
      <c r="H17" s="21"/>
      <c r="I17" s="21"/>
      <c r="J17" s="21">
        <v>-7.2</v>
      </c>
      <c r="K17" s="21">
        <f>D17+F17+G17</f>
        <v>-2.8</v>
      </c>
      <c r="L17" s="21">
        <f>AVERAGE(K14:K17)</f>
        <v>-2.68375</v>
      </c>
      <c r="M17" s="22">
        <f>-(J17-G17)+M16</f>
        <v>4.1</v>
      </c>
    </row>
    <row r="18" ht="20.05" customHeight="1">
      <c r="B18" s="30"/>
      <c r="C18" s="20">
        <v>122</v>
      </c>
      <c r="D18" s="21">
        <v>39.9</v>
      </c>
      <c r="E18" s="21">
        <v>-21.1</v>
      </c>
      <c r="F18" s="21">
        <v>-33.5</v>
      </c>
      <c r="G18" s="21"/>
      <c r="H18" s="21"/>
      <c r="I18" s="21"/>
      <c r="J18" s="21">
        <v>0.6</v>
      </c>
      <c r="K18" s="21">
        <f>D18+F18+G18</f>
        <v>6.4</v>
      </c>
      <c r="L18" s="21">
        <f>AVERAGE(K15:K18)</f>
        <v>-1.225</v>
      </c>
      <c r="M18" s="22">
        <f>-(J18-G18)+M17</f>
        <v>3.5</v>
      </c>
    </row>
    <row r="19" ht="20.05" customHeight="1">
      <c r="B19" s="30"/>
      <c r="C19" s="20">
        <v>146.7</v>
      </c>
      <c r="D19" s="21">
        <v>24.4</v>
      </c>
      <c r="E19" s="21">
        <v>-17.3</v>
      </c>
      <c r="F19" s="21">
        <v>2.2</v>
      </c>
      <c r="G19" s="21"/>
      <c r="H19" s="21"/>
      <c r="I19" s="21"/>
      <c r="J19" s="21">
        <v>-5.6</v>
      </c>
      <c r="K19" s="21">
        <f>D19+F19+G19</f>
        <v>26.6</v>
      </c>
      <c r="L19" s="21">
        <f>AVERAGE(K16:K19)</f>
        <v>6.425</v>
      </c>
      <c r="M19" s="22">
        <f>-(J19-G19)+M18</f>
        <v>9.1</v>
      </c>
    </row>
    <row r="20" ht="20.05" customHeight="1">
      <c r="B20" s="31">
        <v>2020</v>
      </c>
      <c r="C20" s="20">
        <v>117.6</v>
      </c>
      <c r="D20" s="21">
        <v>26.2</v>
      </c>
      <c r="E20" s="21">
        <v>-4.4</v>
      </c>
      <c r="F20" s="21">
        <v>-5</v>
      </c>
      <c r="G20" s="21">
        <v>-5</v>
      </c>
      <c r="H20" s="21"/>
      <c r="I20" s="21"/>
      <c r="J20" s="21">
        <v>-10</v>
      </c>
      <c r="K20" s="21">
        <f>D20+F20+G20</f>
        <v>16.2</v>
      </c>
      <c r="L20" s="21">
        <f>AVERAGE(K17:K20)</f>
        <v>11.6</v>
      </c>
      <c r="M20" s="22">
        <f>-(J20-G20)+M19</f>
        <v>14.1</v>
      </c>
    </row>
    <row r="21" ht="20.05" customHeight="1">
      <c r="B21" s="30"/>
      <c r="C21" s="20">
        <v>76.09999999999999</v>
      </c>
      <c r="D21" s="21">
        <v>22.3</v>
      </c>
      <c r="E21" s="21">
        <v>-13.2</v>
      </c>
      <c r="F21" s="21">
        <v>-2.7</v>
      </c>
      <c r="G21" s="21">
        <v>-5</v>
      </c>
      <c r="H21" s="21"/>
      <c r="I21" s="21"/>
      <c r="J21" s="21">
        <v>-8.199999999999999</v>
      </c>
      <c r="K21" s="21">
        <f>D21+F21+G21</f>
        <v>14.6</v>
      </c>
      <c r="L21" s="21">
        <f>AVERAGE(K18:K21)</f>
        <v>15.95</v>
      </c>
      <c r="M21" s="22">
        <f>-(J21-G21)+M20</f>
        <v>17.3</v>
      </c>
    </row>
    <row r="22" ht="20.05" customHeight="1">
      <c r="B22" s="30"/>
      <c r="C22" s="20">
        <v>94.2</v>
      </c>
      <c r="D22" s="21">
        <v>17.4</v>
      </c>
      <c r="E22" s="21">
        <v>-9</v>
      </c>
      <c r="F22" s="21">
        <v>-13.1</v>
      </c>
      <c r="G22" s="21">
        <v>-5</v>
      </c>
      <c r="H22" s="21"/>
      <c r="I22" s="21"/>
      <c r="J22" s="21">
        <v>-18.9</v>
      </c>
      <c r="K22" s="21">
        <f>D22+F22+G22</f>
        <v>-0.7</v>
      </c>
      <c r="L22" s="21">
        <f>AVERAGE(K19:K22)</f>
        <v>14.175</v>
      </c>
      <c r="M22" s="22">
        <f>-(J22-G22)+M21</f>
        <v>31.2</v>
      </c>
    </row>
    <row r="23" ht="20.05" customHeight="1">
      <c r="B23" s="30"/>
      <c r="C23" s="20">
        <f>358.4-SUM(C20:C22)</f>
        <v>70.5</v>
      </c>
      <c r="D23" s="21">
        <f>107.5-SUM(D20:D22)</f>
        <v>41.6</v>
      </c>
      <c r="E23" s="21">
        <v>-12.3</v>
      </c>
      <c r="F23" s="21">
        <f>-31.3-SUM(F20:F22)</f>
        <v>-10.5</v>
      </c>
      <c r="G23" s="21">
        <v>-5</v>
      </c>
      <c r="H23" s="21"/>
      <c r="I23" s="21"/>
      <c r="J23" s="21">
        <f>-25.8-SUM(J20:J22)</f>
        <v>11.3</v>
      </c>
      <c r="K23" s="21">
        <f>D23+F23+G23</f>
        <v>26.1</v>
      </c>
      <c r="L23" s="21">
        <f>AVERAGE(K20:K23)</f>
        <v>14.05</v>
      </c>
      <c r="M23" s="22">
        <f>-(J23-G23)+M22</f>
        <v>14.9</v>
      </c>
    </row>
    <row r="24" ht="20.05" customHeight="1">
      <c r="B24" s="31">
        <v>2021</v>
      </c>
      <c r="C24" s="20">
        <v>55.6</v>
      </c>
      <c r="D24" s="21">
        <v>-15.8</v>
      </c>
      <c r="E24" s="21">
        <v>-7.1</v>
      </c>
      <c r="F24" s="21">
        <v>-8.1</v>
      </c>
      <c r="G24" s="21">
        <v>-3.8</v>
      </c>
      <c r="H24" s="21">
        <f>-28.997-G24</f>
        <v>-25.197</v>
      </c>
      <c r="I24" s="21"/>
      <c r="J24" s="21">
        <f>-29</f>
        <v>-29</v>
      </c>
      <c r="K24" s="21">
        <f>D24+F24+G24</f>
        <v>-27.7</v>
      </c>
      <c r="L24" s="21">
        <f>AVERAGE(K21:K24)</f>
        <v>3.075</v>
      </c>
      <c r="M24" s="22">
        <f>-(J24-G24)+M23</f>
        <v>40.1</v>
      </c>
    </row>
    <row r="25" ht="20.05" customHeight="1">
      <c r="B25" s="30"/>
      <c r="C25" s="20">
        <f>186.8-C24</f>
        <v>131.2</v>
      </c>
      <c r="D25" s="21">
        <f>43.3-D24</f>
        <v>59.1</v>
      </c>
      <c r="E25" s="21">
        <v>-24.4</v>
      </c>
      <c r="F25" s="21">
        <f>-30.7-F24</f>
        <v>-22.6</v>
      </c>
      <c r="G25" s="21">
        <f>-8.4-G24</f>
        <v>-4.6</v>
      </c>
      <c r="H25" s="21">
        <f>-55.471-G25-G24-H24-I25</f>
        <v>-13.988</v>
      </c>
      <c r="I25" s="21">
        <v>-7.886</v>
      </c>
      <c r="J25" s="21">
        <f>-55.5-J24</f>
        <v>-26.5</v>
      </c>
      <c r="K25" s="21">
        <f>D25+F25+G25</f>
        <v>31.9</v>
      </c>
      <c r="L25" s="21">
        <f>AVERAGE(K22:K25)</f>
        <v>7.4</v>
      </c>
      <c r="M25" s="22">
        <f>-J25+M24</f>
        <v>66.59999999999999</v>
      </c>
    </row>
    <row r="26" ht="20.05" customHeight="1">
      <c r="B26" s="30"/>
      <c r="C26" s="20">
        <f>294.4-SUM(C24:C25)</f>
        <v>107.6</v>
      </c>
      <c r="D26" s="21">
        <f>77.5-SUM(D24:D25)</f>
        <v>34.2</v>
      </c>
      <c r="E26" s="21"/>
      <c r="F26" s="21">
        <f>-52.4-SUM(F24:F25)</f>
        <v>-21.7</v>
      </c>
      <c r="G26" s="21">
        <f>-10.6-SUM(G24:G25)</f>
        <v>-2.2</v>
      </c>
      <c r="H26" s="21">
        <f>-62.759-G24-G25-G26-H24-H25-I25-I26</f>
        <v>-4.974</v>
      </c>
      <c r="I26" s="21">
        <f>-8-I25</f>
        <v>-0.114</v>
      </c>
      <c r="J26" s="21">
        <f>-62.8-SUM(J24:J25)</f>
        <v>-7.3</v>
      </c>
      <c r="K26" s="21">
        <f>D26+F26+G26</f>
        <v>10.3</v>
      </c>
      <c r="L26" s="21">
        <f>AVERAGE(K23:K26)</f>
        <v>10.15</v>
      </c>
      <c r="M26" s="22">
        <f>-J26+M25</f>
        <v>73.90000000000001</v>
      </c>
    </row>
    <row r="27" ht="20.05" customHeight="1">
      <c r="B27" s="30"/>
      <c r="C27" s="20"/>
      <c r="D27" s="21"/>
      <c r="E27" s="21"/>
      <c r="F27" s="21"/>
      <c r="G27" s="21"/>
      <c r="H27" s="21"/>
      <c r="I27" s="21"/>
      <c r="J27" s="21"/>
      <c r="K27" s="21"/>
      <c r="L27" s="21">
        <f>SUM('Model'!E8:E10)</f>
        <v>14.623336475130</v>
      </c>
      <c r="M27" s="22">
        <f>'Model'!E33</f>
        <v>123.800850626593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7344" style="38" customWidth="1"/>
    <col min="2" max="11" width="9.21875" style="38" customWidth="1"/>
    <col min="12" max="16384" width="16.3516" style="38" customWidth="1"/>
  </cols>
  <sheetData>
    <row r="1" ht="48.3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51</v>
      </c>
      <c r="D3" t="s" s="4">
        <v>52</v>
      </c>
      <c r="E3" t="s" s="4">
        <v>22</v>
      </c>
      <c r="F3" t="s" s="4">
        <v>23</v>
      </c>
      <c r="G3" t="s" s="4">
        <v>12</v>
      </c>
      <c r="H3" t="s" s="4">
        <v>13</v>
      </c>
      <c r="I3" t="s" s="4">
        <v>53</v>
      </c>
      <c r="J3" t="s" s="4">
        <v>26</v>
      </c>
      <c r="K3" t="s" s="4">
        <v>35</v>
      </c>
    </row>
    <row r="4" ht="20.25" customHeight="1">
      <c r="B4" s="25">
        <v>2016</v>
      </c>
      <c r="C4" s="39">
        <v>70.03400000000001</v>
      </c>
      <c r="D4" s="37">
        <v>417.34</v>
      </c>
      <c r="E4" s="37">
        <f>D4-C4</f>
        <v>347.306</v>
      </c>
      <c r="F4" s="37"/>
      <c r="G4" s="37">
        <v>242.422</v>
      </c>
      <c r="H4" s="37">
        <v>174.918</v>
      </c>
      <c r="I4" s="37">
        <f>G4+H4-C4-E4</f>
        <v>0</v>
      </c>
      <c r="J4" s="37">
        <f>C4-G4</f>
        <v>-172.388</v>
      </c>
      <c r="K4" s="37"/>
    </row>
    <row r="5" ht="20.05" customHeight="1">
      <c r="B5" s="30"/>
      <c r="C5" s="40">
        <v>65.38500000000001</v>
      </c>
      <c r="D5" s="22">
        <v>403.127</v>
      </c>
      <c r="E5" s="22">
        <f>D5-C5</f>
        <v>337.742</v>
      </c>
      <c r="F5" s="22"/>
      <c r="G5" s="22">
        <v>231.473</v>
      </c>
      <c r="H5" s="22">
        <v>171.654</v>
      </c>
      <c r="I5" s="22">
        <f>G5+H5-C5-E5</f>
        <v>0</v>
      </c>
      <c r="J5" s="22">
        <f>C5-G5</f>
        <v>-166.088</v>
      </c>
      <c r="K5" s="22"/>
    </row>
    <row r="6" ht="20.05" customHeight="1">
      <c r="B6" s="30"/>
      <c r="C6" s="40">
        <v>63.577</v>
      </c>
      <c r="D6" s="22">
        <v>400.459</v>
      </c>
      <c r="E6" s="22">
        <f>D6-C6</f>
        <v>336.882</v>
      </c>
      <c r="F6" s="22"/>
      <c r="G6" s="22">
        <v>226.708</v>
      </c>
      <c r="H6" s="22">
        <v>173.751</v>
      </c>
      <c r="I6" s="22">
        <f>G6+H6-C6-E6</f>
        <v>0</v>
      </c>
      <c r="J6" s="22">
        <f>C6-G6</f>
        <v>-163.131</v>
      </c>
      <c r="K6" s="22"/>
    </row>
    <row r="7" ht="20.05" customHeight="1">
      <c r="B7" s="30"/>
      <c r="C7" s="40">
        <v>66.40000000000001</v>
      </c>
      <c r="D7" s="22">
        <v>393.4</v>
      </c>
      <c r="E7" s="22">
        <f>D7-C7</f>
        <v>327</v>
      </c>
      <c r="F7" s="22">
        <f>1+298</f>
        <v>299</v>
      </c>
      <c r="G7" s="22">
        <v>223</v>
      </c>
      <c r="H7" s="22">
        <v>170.4</v>
      </c>
      <c r="I7" s="22">
        <f>G7+H7-C7-E7</f>
        <v>0</v>
      </c>
      <c r="J7" s="22">
        <f>C7-G7</f>
        <v>-156.6</v>
      </c>
      <c r="K7" s="22"/>
    </row>
    <row r="8" ht="20.05" customHeight="1">
      <c r="B8" s="31">
        <v>2017</v>
      </c>
      <c r="C8" s="40">
        <v>69.465</v>
      </c>
      <c r="D8" s="22">
        <v>395.531</v>
      </c>
      <c r="E8" s="22">
        <f>D8-C8</f>
        <v>326.066</v>
      </c>
      <c r="F8" s="22"/>
      <c r="G8" s="22">
        <v>222.567</v>
      </c>
      <c r="H8" s="22">
        <v>172.964</v>
      </c>
      <c r="I8" s="22">
        <f>G8+H8-C8-E8</f>
        <v>0</v>
      </c>
      <c r="J8" s="22">
        <f>C8-G8</f>
        <v>-153.102</v>
      </c>
      <c r="K8" s="22"/>
    </row>
    <row r="9" ht="20.05" customHeight="1">
      <c r="B9" s="30"/>
      <c r="C9" s="40">
        <v>75.88200000000001</v>
      </c>
      <c r="D9" s="22">
        <v>402.775</v>
      </c>
      <c r="E9" s="22">
        <f>D9-C9</f>
        <v>326.893</v>
      </c>
      <c r="F9" s="22"/>
      <c r="G9" s="22">
        <v>228.905</v>
      </c>
      <c r="H9" s="22">
        <v>173.87</v>
      </c>
      <c r="I9" s="22">
        <f>G9+H9-C9-E9</f>
        <v>0</v>
      </c>
      <c r="J9" s="22">
        <f>C9-G9</f>
        <v>-153.023</v>
      </c>
      <c r="K9" s="22"/>
    </row>
    <row r="10" ht="20.05" customHeight="1">
      <c r="B10" s="30"/>
      <c r="C10" s="40">
        <v>77.871</v>
      </c>
      <c r="D10" s="22">
        <v>416.641</v>
      </c>
      <c r="E10" s="22">
        <f>D10-C10</f>
        <v>338.77</v>
      </c>
      <c r="F10" s="22"/>
      <c r="G10" s="22">
        <v>240.381</v>
      </c>
      <c r="H10" s="22">
        <v>176.26</v>
      </c>
      <c r="I10" s="22">
        <f>G10+H10-C10-E10</f>
        <v>0</v>
      </c>
      <c r="J10" s="22">
        <f>C10-G10</f>
        <v>-162.51</v>
      </c>
      <c r="K10" s="22"/>
    </row>
    <row r="11" ht="20.05" customHeight="1">
      <c r="B11" s="30"/>
      <c r="C11" s="40">
        <v>65.2</v>
      </c>
      <c r="D11" s="22">
        <v>454.2</v>
      </c>
      <c r="E11" s="22">
        <f>D11-C11</f>
        <v>389</v>
      </c>
      <c r="F11" s="22">
        <f>1+324</f>
        <v>325</v>
      </c>
      <c r="G11" s="22">
        <v>265.4</v>
      </c>
      <c r="H11" s="22">
        <v>188.8</v>
      </c>
      <c r="I11" s="22">
        <f>G11+H11-C11-E11</f>
        <v>0</v>
      </c>
      <c r="J11" s="22">
        <f>C11-G11</f>
        <v>-200.2</v>
      </c>
      <c r="K11" s="22"/>
    </row>
    <row r="12" ht="20.05" customHeight="1">
      <c r="B12" s="31">
        <v>2018</v>
      </c>
      <c r="C12" s="40">
        <v>54.478</v>
      </c>
      <c r="D12" s="22">
        <v>461.367</v>
      </c>
      <c r="E12" s="22">
        <f>D12-C12</f>
        <v>406.889</v>
      </c>
      <c r="F12" s="22"/>
      <c r="G12" s="22">
        <v>281.288</v>
      </c>
      <c r="H12" s="22">
        <v>180.079</v>
      </c>
      <c r="I12" s="22">
        <f>G12+H12-C12-E12</f>
        <v>0</v>
      </c>
      <c r="J12" s="22">
        <f>C12-G12</f>
        <v>-226.81</v>
      </c>
      <c r="K12" s="22"/>
    </row>
    <row r="13" ht="20.05" customHeight="1">
      <c r="B13" s="30"/>
      <c r="C13" s="40">
        <v>57.1</v>
      </c>
      <c r="D13" s="22">
        <v>492.9</v>
      </c>
      <c r="E13" s="22">
        <f>D13-C13</f>
        <v>435.8</v>
      </c>
      <c r="F13" s="22"/>
      <c r="G13" s="22">
        <v>317.7</v>
      </c>
      <c r="H13" s="22">
        <v>175.3</v>
      </c>
      <c r="I13" s="22">
        <f>G13+H13-C13-E13</f>
        <v>0.1</v>
      </c>
      <c r="J13" s="22">
        <f>C13-G13</f>
        <v>-260.6</v>
      </c>
      <c r="K13" s="22"/>
    </row>
    <row r="14" ht="20.05" customHeight="1">
      <c r="B14" s="30"/>
      <c r="C14" s="40">
        <v>58.6</v>
      </c>
      <c r="D14" s="22">
        <v>515.4</v>
      </c>
      <c r="E14" s="22">
        <f>D14-C14</f>
        <v>456.8</v>
      </c>
      <c r="F14" s="22"/>
      <c r="G14" s="22">
        <v>329.7</v>
      </c>
      <c r="H14" s="22">
        <v>185.7</v>
      </c>
      <c r="I14" s="22">
        <f>G14+H14-C14-E14</f>
        <v>0</v>
      </c>
      <c r="J14" s="22">
        <f>C14-G14</f>
        <v>-271.1</v>
      </c>
      <c r="K14" s="22"/>
    </row>
    <row r="15" ht="20.05" customHeight="1">
      <c r="B15" s="30"/>
      <c r="C15" s="40">
        <v>68.2</v>
      </c>
      <c r="D15" s="22">
        <v>555.6</v>
      </c>
      <c r="E15" s="22">
        <f>D15-C15</f>
        <v>487.4</v>
      </c>
      <c r="F15" s="22">
        <f>2+359+2.1</f>
        <v>363.1</v>
      </c>
      <c r="G15" s="22">
        <v>364.5</v>
      </c>
      <c r="H15" s="22">
        <v>191.1</v>
      </c>
      <c r="I15" s="22">
        <f>G15+H15-C15-E15</f>
        <v>0</v>
      </c>
      <c r="J15" s="22">
        <f>C15-G15</f>
        <v>-296.3</v>
      </c>
      <c r="K15" s="22"/>
    </row>
    <row r="16" ht="20.05" customHeight="1">
      <c r="B16" s="31">
        <v>2019</v>
      </c>
      <c r="C16" s="40">
        <v>64.90000000000001</v>
      </c>
      <c r="D16" s="22">
        <v>558.8</v>
      </c>
      <c r="E16" s="22">
        <f>D16-C16</f>
        <v>493.9</v>
      </c>
      <c r="F16" s="22"/>
      <c r="G16" s="22">
        <v>364.7</v>
      </c>
      <c r="H16" s="22">
        <v>194.2</v>
      </c>
      <c r="I16" s="22">
        <f>G16+H16-C16-E16</f>
        <v>0.1</v>
      </c>
      <c r="J16" s="22">
        <f>C16-G16</f>
        <v>-299.8</v>
      </c>
      <c r="K16" s="22"/>
    </row>
    <row r="17" ht="20.05" customHeight="1">
      <c r="B17" s="30"/>
      <c r="C17" s="40">
        <v>54.946</v>
      </c>
      <c r="D17" s="22">
        <v>552.0119999999999</v>
      </c>
      <c r="E17" s="22">
        <f>D17-C17</f>
        <v>497.066</v>
      </c>
      <c r="F17" s="22"/>
      <c r="G17" s="22">
        <v>361.683</v>
      </c>
      <c r="H17" s="22">
        <v>190.329</v>
      </c>
      <c r="I17" s="22">
        <f>G17+H17-C17-E17</f>
        <v>0</v>
      </c>
      <c r="J17" s="22">
        <f>C17-G17</f>
        <v>-306.737</v>
      </c>
      <c r="K17" s="22"/>
    </row>
    <row r="18" ht="20.05" customHeight="1">
      <c r="B18" s="30"/>
      <c r="C18" s="40">
        <v>62</v>
      </c>
      <c r="D18" s="22">
        <v>578.1</v>
      </c>
      <c r="E18" s="22">
        <f>D18-C18</f>
        <v>516.1</v>
      </c>
      <c r="F18" s="22"/>
      <c r="G18" s="22">
        <v>375.4</v>
      </c>
      <c r="H18" s="22">
        <v>202.8</v>
      </c>
      <c r="I18" s="22">
        <f>G18+H18-C18-E18</f>
        <v>0.1</v>
      </c>
      <c r="J18" s="22">
        <f>C18-G18</f>
        <v>-313.4</v>
      </c>
      <c r="K18" s="22"/>
    </row>
    <row r="19" ht="20.05" customHeight="1">
      <c r="B19" s="30"/>
      <c r="C19" s="40">
        <v>84.2</v>
      </c>
      <c r="D19" s="22">
        <v>551</v>
      </c>
      <c r="E19" s="22">
        <f>D19-C19</f>
        <v>466.8</v>
      </c>
      <c r="F19" s="22">
        <f>385.4+2.5</f>
        <v>387.9</v>
      </c>
      <c r="G19" s="22">
        <v>338.4</v>
      </c>
      <c r="H19" s="22">
        <v>212.6</v>
      </c>
      <c r="I19" s="22">
        <f>G19+H19-C19-E19</f>
        <v>0</v>
      </c>
      <c r="J19" s="22">
        <f>C19-G19</f>
        <v>-254.2</v>
      </c>
      <c r="K19" s="22"/>
    </row>
    <row r="20" ht="20.05" customHeight="1">
      <c r="B20" s="31">
        <v>2020</v>
      </c>
      <c r="C20" s="40">
        <v>95.3</v>
      </c>
      <c r="D20" s="22">
        <v>552.9</v>
      </c>
      <c r="E20" s="22">
        <f>D20-C20</f>
        <v>457.6</v>
      </c>
      <c r="F20" s="22"/>
      <c r="G20" s="22">
        <v>342.2</v>
      </c>
      <c r="H20" s="22">
        <v>210.7</v>
      </c>
      <c r="I20" s="22">
        <f>G20+H20-C20-E20</f>
        <v>0</v>
      </c>
      <c r="J20" s="22">
        <f>C20-G20</f>
        <v>-246.9</v>
      </c>
      <c r="K20" s="22"/>
    </row>
    <row r="21" ht="20.05" customHeight="1">
      <c r="B21" s="30"/>
      <c r="C21" s="40">
        <v>106.7</v>
      </c>
      <c r="D21" s="22">
        <v>529.9</v>
      </c>
      <c r="E21" s="22">
        <f>D21-C21</f>
        <v>423.2</v>
      </c>
      <c r="F21" s="22"/>
      <c r="G21" s="22">
        <v>317.8</v>
      </c>
      <c r="H21" s="22">
        <v>212.1</v>
      </c>
      <c r="I21" s="22">
        <f>G21+H21-C21-E21</f>
        <v>0</v>
      </c>
      <c r="J21" s="22">
        <f>C21-G21</f>
        <v>-211.1</v>
      </c>
      <c r="K21" s="22"/>
    </row>
    <row r="22" ht="20.05" customHeight="1">
      <c r="B22" s="30"/>
      <c r="C22" s="40">
        <v>92.09999999999999</v>
      </c>
      <c r="D22" s="22">
        <v>505.1</v>
      </c>
      <c r="E22" s="22">
        <f>D22-C22</f>
        <v>413</v>
      </c>
      <c r="F22" s="22">
        <f>46.3+385.5+0.4+5.5</f>
        <v>437.7</v>
      </c>
      <c r="G22" s="22">
        <v>290.7</v>
      </c>
      <c r="H22" s="22">
        <v>214.3</v>
      </c>
      <c r="I22" s="22">
        <f>G22+H22-C22-E22</f>
        <v>-0.1</v>
      </c>
      <c r="J22" s="22">
        <f>C22-G22</f>
        <v>-198.6</v>
      </c>
      <c r="K22" s="22"/>
    </row>
    <row r="23" ht="20.05" customHeight="1">
      <c r="B23" s="30"/>
      <c r="C23" s="40">
        <v>133.9</v>
      </c>
      <c r="D23" s="22">
        <v>529.7</v>
      </c>
      <c r="E23" s="22">
        <f>D23-C23</f>
        <v>395.8</v>
      </c>
      <c r="F23" s="22">
        <f>353.8+44.9+6.1</f>
        <v>404.8</v>
      </c>
      <c r="G23" s="22">
        <v>298.3</v>
      </c>
      <c r="H23" s="22">
        <v>231.4</v>
      </c>
      <c r="I23" s="22">
        <f>G23+H23-C23-E23</f>
        <v>0</v>
      </c>
      <c r="J23" s="22">
        <f>C23-G23</f>
        <v>-164.4</v>
      </c>
      <c r="K23" s="22"/>
    </row>
    <row r="24" ht="20.05" customHeight="1">
      <c r="B24" s="31">
        <v>2021</v>
      </c>
      <c r="C24" s="40">
        <v>81</v>
      </c>
      <c r="D24" s="22">
        <v>514.6</v>
      </c>
      <c r="E24" s="22">
        <f>D24-C24</f>
        <v>433.6</v>
      </c>
      <c r="F24" s="22">
        <f>371.2+34.9</f>
        <v>406.1</v>
      </c>
      <c r="G24" s="22">
        <v>278.7</v>
      </c>
      <c r="H24" s="22">
        <v>235.9</v>
      </c>
      <c r="I24" s="22">
        <f>G24+H24-C24-E24</f>
        <v>0</v>
      </c>
      <c r="J24" s="22">
        <f>C24-G24</f>
        <v>-197.7</v>
      </c>
      <c r="K24" s="22"/>
    </row>
    <row r="25" ht="20.05" customHeight="1">
      <c r="B25" s="30"/>
      <c r="C25" s="40">
        <v>91</v>
      </c>
      <c r="D25" s="22">
        <v>510</v>
      </c>
      <c r="E25" s="22">
        <f>D25-C25</f>
        <v>419</v>
      </c>
      <c r="F25" s="22">
        <f>384+35</f>
        <v>419</v>
      </c>
      <c r="G25" s="22">
        <v>275</v>
      </c>
      <c r="H25" s="22">
        <v>235</v>
      </c>
      <c r="I25" s="22">
        <f>G25+H25-C25-E25</f>
        <v>0</v>
      </c>
      <c r="J25" s="22">
        <f>C25-G25</f>
        <v>-184</v>
      </c>
      <c r="K25" s="22"/>
    </row>
    <row r="26" ht="20.05" customHeight="1">
      <c r="B26" s="30"/>
      <c r="C26" s="40">
        <v>96</v>
      </c>
      <c r="D26" s="22">
        <v>526</v>
      </c>
      <c r="E26" s="22">
        <f>D26-C26</f>
        <v>430</v>
      </c>
      <c r="F26" s="22">
        <f>396+36</f>
        <v>432</v>
      </c>
      <c r="G26" s="22">
        <v>287</v>
      </c>
      <c r="H26" s="22">
        <v>239</v>
      </c>
      <c r="I26" s="22">
        <f>G26+H26-C26-E26</f>
        <v>0</v>
      </c>
      <c r="J26" s="22">
        <f>C26-G26</f>
        <v>-191</v>
      </c>
      <c r="K26" s="22">
        <f>J26</f>
        <v>-191</v>
      </c>
    </row>
    <row r="27" ht="20.05" customHeight="1">
      <c r="B27" s="30"/>
      <c r="C27" s="40"/>
      <c r="D27" s="22"/>
      <c r="E27" s="22">
        <f>D27-C27</f>
        <v>0</v>
      </c>
      <c r="F27" s="22"/>
      <c r="G27" s="22"/>
      <c r="H27" s="22"/>
      <c r="I27" s="22">
        <f>G27+H27-C27-E27</f>
        <v>0</v>
      </c>
      <c r="J27" s="22"/>
      <c r="K27" s="22">
        <f>'Model'!E30</f>
        <v>-147.109404561385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41" customWidth="1"/>
    <col min="2" max="4" width="9.9375" style="41" customWidth="1"/>
    <col min="5" max="16384" width="16.3516" style="41" customWidth="1"/>
  </cols>
  <sheetData>
    <row r="1" ht="30.75" customHeight="1"/>
    <row r="2" ht="27.65" customHeight="1">
      <c r="B2" t="s" s="2">
        <v>54</v>
      </c>
      <c r="C2" s="2"/>
      <c r="D2" s="2"/>
    </row>
    <row r="3" ht="20.25" customHeight="1">
      <c r="B3" s="5"/>
      <c r="C3" t="s" s="42">
        <v>55</v>
      </c>
      <c r="D3" t="s" s="42">
        <v>38</v>
      </c>
    </row>
    <row r="4" ht="20.25" customHeight="1">
      <c r="B4" s="25">
        <v>2018</v>
      </c>
      <c r="C4" s="39">
        <v>1652.690552</v>
      </c>
      <c r="D4" s="9"/>
    </row>
    <row r="5" ht="20.05" customHeight="1">
      <c r="B5" s="30"/>
      <c r="C5" s="40">
        <v>1446.397827</v>
      </c>
      <c r="D5" s="19"/>
    </row>
    <row r="6" ht="20.05" customHeight="1">
      <c r="B6" s="30"/>
      <c r="C6" s="40">
        <v>1744.312622</v>
      </c>
      <c r="D6" s="19"/>
    </row>
    <row r="7" ht="20.05" customHeight="1">
      <c r="B7" s="30"/>
      <c r="C7" s="40">
        <v>1714.089478</v>
      </c>
      <c r="D7" s="19"/>
    </row>
    <row r="8" ht="20.05" customHeight="1">
      <c r="B8" s="31">
        <v>2019</v>
      </c>
      <c r="C8" s="40">
        <v>1653.642944</v>
      </c>
      <c r="D8" s="19"/>
    </row>
    <row r="9" ht="20.05" customHeight="1">
      <c r="B9" s="30"/>
      <c r="C9" s="40">
        <v>1444.60376</v>
      </c>
      <c r="D9" s="19"/>
    </row>
    <row r="10" ht="20.05" customHeight="1">
      <c r="B10" s="30"/>
      <c r="C10" s="40">
        <v>1361.527466</v>
      </c>
      <c r="D10" s="19"/>
    </row>
    <row r="11" ht="20.05" customHeight="1">
      <c r="B11" s="30"/>
      <c r="C11" s="40">
        <v>1366.142822</v>
      </c>
      <c r="D11" s="19"/>
    </row>
    <row r="12" ht="20.05" customHeight="1">
      <c r="B12" s="31">
        <v>2020</v>
      </c>
      <c r="C12" s="40">
        <v>1043.068481</v>
      </c>
      <c r="D12" s="19"/>
    </row>
    <row r="13" ht="20.05" customHeight="1">
      <c r="B13" s="30"/>
      <c r="C13" s="40">
        <v>1320</v>
      </c>
      <c r="D13" s="19"/>
    </row>
    <row r="14" ht="20.05" customHeight="1">
      <c r="B14" s="30"/>
      <c r="C14" s="40">
        <v>1610</v>
      </c>
      <c r="D14" s="19"/>
    </row>
    <row r="15" ht="20.05" customHeight="1">
      <c r="B15" s="30"/>
      <c r="C15" s="40">
        <v>1930</v>
      </c>
      <c r="D15" s="19"/>
    </row>
    <row r="16" ht="20.05" customHeight="1">
      <c r="B16" s="31">
        <v>2021</v>
      </c>
      <c r="C16" s="40">
        <v>1940</v>
      </c>
      <c r="D16" s="22">
        <v>5320.710552941850</v>
      </c>
    </row>
    <row r="17" ht="20.05" customHeight="1">
      <c r="B17" s="30"/>
      <c r="C17" s="40">
        <v>1910</v>
      </c>
      <c r="D17" s="22">
        <v>5072.221280178170</v>
      </c>
    </row>
    <row r="18" ht="20.05" customHeight="1">
      <c r="B18" s="30"/>
      <c r="C18" s="40">
        <v>2370</v>
      </c>
      <c r="D18" s="19"/>
    </row>
    <row r="19" ht="20.05" customHeight="1">
      <c r="B19" s="30"/>
      <c r="C19" s="40">
        <v>2190</v>
      </c>
      <c r="D19" s="22">
        <f>C19</f>
        <v>2190</v>
      </c>
    </row>
    <row r="20" ht="20.05" customHeight="1">
      <c r="B20" s="30"/>
      <c r="C20" s="40"/>
      <c r="D20" s="22">
        <v>5553.208443016420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